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8025" windowWidth="15480" windowHeight="4065" tabRatio="909" activeTab="1"/>
  </bookViews>
  <sheets>
    <sheet name="Balance Sheet" sheetId="23" r:id="rId1"/>
    <sheet name="Income Statement" sheetId="52" r:id="rId2"/>
    <sheet name="Statement of Changes in Equity " sheetId="32" state="hidden" r:id="rId3"/>
    <sheet name="4" sheetId="3" state="hidden" r:id="rId4"/>
    <sheet name="8 Company" sheetId="26" state="hidden" r:id="rId5"/>
    <sheet name="10" sheetId="6" state="hidden" r:id="rId6"/>
    <sheet name="12" sheetId="9" state="hidden" r:id="rId7"/>
    <sheet name="14" sheetId="11" state="hidden" r:id="rId8"/>
    <sheet name="16" sheetId="13" state="hidden" r:id="rId9"/>
    <sheet name="23" sheetId="36" state="hidden" r:id="rId10"/>
    <sheet name="25 Group (2002)" sheetId="43" state="hidden" r:id="rId11"/>
    <sheet name="25 Company" sheetId="31" state="hidden" r:id="rId12"/>
    <sheet name="29 Reconciliation of equity" sheetId="63" state="hidden" r:id="rId13"/>
    <sheet name="29 PL" sheetId="64" state="hidden" r:id="rId14"/>
    <sheet name="31" sheetId="50" state="hidden" r:id="rId15"/>
    <sheet name="25 Group (2005)" sheetId="86" state="hidden" r:id="rId16"/>
    <sheet name="33" sheetId="37" state="hidden" r:id="rId17"/>
  </sheets>
  <definedNames>
    <definedName name="Output" localSheetId="13">#REF!</definedName>
    <definedName name="Output" localSheetId="12">#REF!</definedName>
    <definedName name="Output">#REF!</definedName>
    <definedName name="_xlnm.Print_Area" localSheetId="5">'10'!$A$1:$J$16</definedName>
    <definedName name="_xlnm.Print_Area" localSheetId="6">'12'!$A$3:$K$18</definedName>
    <definedName name="_xlnm.Print_Area" localSheetId="7">'14'!$A$1:$J$43</definedName>
    <definedName name="_xlnm.Print_Area" localSheetId="8">'16'!$A$2:$J$20</definedName>
    <definedName name="_xlnm.Print_Area" localSheetId="9">'23'!$A$1:$I$41</definedName>
    <definedName name="_xlnm.Print_Area" localSheetId="11">'25 Company'!$A$1:$T$22</definedName>
    <definedName name="_xlnm.Print_Area" localSheetId="10">'25 Group (2002)'!$A$1:$Y$48</definedName>
    <definedName name="_xlnm.Print_Area" localSheetId="15">'25 Group (2005)'!$B$3:$P$21</definedName>
    <definedName name="_xlnm.Print_Area" localSheetId="13">'29 PL'!$B$1:$J$40</definedName>
    <definedName name="_xlnm.Print_Area" localSheetId="12">'29 Reconciliation of equity'!$B$1:$K$65</definedName>
    <definedName name="_xlnm.Print_Area" localSheetId="14">'31'!$A$1:$H$75</definedName>
    <definedName name="_xlnm.Print_Area" localSheetId="16">'33'!$A$2:$F$7</definedName>
    <definedName name="_xlnm.Print_Area" localSheetId="3">'4'!$A$1:$J$21</definedName>
    <definedName name="_xlnm.Print_Area" localSheetId="4">'8 Company'!$A$1:$T$112</definedName>
    <definedName name="_xlnm.Print_Area" localSheetId="0">'Balance Sheet'!$B$2:$E$40</definedName>
    <definedName name="_xlnm.Print_Area" localSheetId="1">'Income Statement'!$A$1:$J$33</definedName>
    <definedName name="_xlnm.Print_Area" localSheetId="2">'Statement of Changes in Equity '!$A$1:$N$80</definedName>
    <definedName name="TB" localSheetId="13">#REF!</definedName>
    <definedName name="TB" localSheetId="12">#REF!</definedName>
    <definedName name="TB">#REF!</definedName>
    <definedName name="Z_81C3EEA1_3968_40EE_B1AA_DA77B6130620_.wvu.Cols" localSheetId="13" hidden="1">'29 PL'!$B:$B</definedName>
    <definedName name="Z_81C3EEA1_3968_40EE_B1AA_DA77B6130620_.wvu.Cols" localSheetId="12" hidden="1">'29 Reconciliation of equity'!$B:$B</definedName>
    <definedName name="Z_81C3EEA1_3968_40EE_B1AA_DA77B6130620_.wvu.PrintArea" localSheetId="13" hidden="1">'29 PL'!$C$3:$I$41</definedName>
    <definedName name="Z_81C3EEA1_3968_40EE_B1AA_DA77B6130620_.wvu.PrintArea" localSheetId="12" hidden="1">'29 Reconciliation of equity'!$C$3:$I$67</definedName>
    <definedName name="Z_CA5F7827_770E_4021_BF89_48B92C3DE544_.wvu.Cols" localSheetId="13" hidden="1">'29 PL'!$B:$B</definedName>
    <definedName name="Z_CA5F7827_770E_4021_BF89_48B92C3DE544_.wvu.Cols" localSheetId="12" hidden="1">'29 Reconciliation of equity'!$B:$B</definedName>
    <definedName name="Z_CA5F7827_770E_4021_BF89_48B92C3DE544_.wvu.PrintArea" localSheetId="13" hidden="1">'29 PL'!$C$3:$I$41</definedName>
    <definedName name="Z_CA5F7827_770E_4021_BF89_48B92C3DE544_.wvu.PrintArea" localSheetId="12" hidden="1">'29 Reconciliation of equity'!$C$3:$I$67</definedName>
    <definedName name="Z_FEB6A96D_6D61_4258_8225_865A529D5565_.wvu.PrintArea" localSheetId="6" hidden="1">'12'!$A$3:$K$16</definedName>
    <definedName name="Z_FEB6A96D_6D61_4258_8225_865A529D5565_.wvu.PrintArea" localSheetId="7" hidden="1">'14'!$A$2:$I$43</definedName>
    <definedName name="Z_FEB6A96D_6D61_4258_8225_865A529D5565_.wvu.PrintArea" localSheetId="8" hidden="1">'16'!$A$2:$I$20</definedName>
    <definedName name="Z_FEB6A96D_6D61_4258_8225_865A529D5565_.wvu.PrintArea" localSheetId="3" hidden="1">'4'!$A$1:$I$19</definedName>
    <definedName name="Z_FEB6A96D_6D61_4258_8225_865A529D5565_.wvu.Rows" localSheetId="5" hidden="1">'10'!$9:$11</definedName>
    <definedName name="Z_FEB6A96D_6D61_4258_8225_865A529D5565_.wvu.Rows" localSheetId="6" hidden="1">'12'!$16:$16</definedName>
    <definedName name="Z_FEB6A96D_6D61_4258_8225_865A529D5565_.wvu.Rows" localSheetId="7" hidden="1">'14'!$16:$16,'14'!$18:$20,'14'!$25:$25,'14'!$29:$44</definedName>
    <definedName name="Z_FEB6A96D_6D61_4258_8225_865A529D5565_.wvu.Rows" localSheetId="3" hidden="1">'4'!$11:$12</definedName>
  </definedNames>
  <calcPr calcId="125725"/>
  <customWorkbookViews>
    <customWorkbookView name="SPAPACHRISTOS - Personal View" guid="{FEB6A96D-6D61-4258-8225-865A529D5565}" mergeInterval="0" personalView="1" maximized="1" windowWidth="1020" windowHeight="579" activeSheetId="14" showComments="commIndAndComment"/>
  </customWorkbookViews>
</workbook>
</file>

<file path=xl/calcChain.xml><?xml version="1.0" encoding="utf-8"?>
<calcChain xmlns="http://schemas.openxmlformats.org/spreadsheetml/2006/main">
  <c r="G30" i="52"/>
  <c r="F30"/>
  <c r="G26"/>
  <c r="F26"/>
  <c r="G22"/>
  <c r="F22"/>
  <c r="G17"/>
  <c r="F17"/>
  <c r="G13"/>
  <c r="F13"/>
  <c r="E29" i="23"/>
  <c r="E31"/>
  <c r="E37" s="1"/>
  <c r="E35"/>
  <c r="E22"/>
  <c r="E16"/>
  <c r="E24" s="1"/>
  <c r="D35"/>
  <c r="D29"/>
  <c r="D31" s="1"/>
  <c r="D22"/>
  <c r="D16"/>
  <c r="H7" i="86"/>
  <c r="P7" s="1"/>
  <c r="P13" s="1"/>
  <c r="P20" s="1"/>
  <c r="P8"/>
  <c r="P9"/>
  <c r="P10"/>
  <c r="P11"/>
  <c r="P12"/>
  <c r="D13"/>
  <c r="F13"/>
  <c r="F20" s="1"/>
  <c r="J13"/>
  <c r="J20" s="1"/>
  <c r="L13"/>
  <c r="L20" s="1"/>
  <c r="N13"/>
  <c r="N20" s="1"/>
  <c r="D18"/>
  <c r="D20"/>
  <c r="H18"/>
  <c r="D44" i="26"/>
  <c r="S44" s="1"/>
  <c r="S54" s="1"/>
  <c r="F44"/>
  <c r="H44"/>
  <c r="H54" s="1"/>
  <c r="H80" s="1"/>
  <c r="H91" s="1"/>
  <c r="K44"/>
  <c r="M44"/>
  <c r="M54"/>
  <c r="M80"/>
  <c r="M91" s="1"/>
  <c r="O44"/>
  <c r="S45"/>
  <c r="K46"/>
  <c r="K54" s="1"/>
  <c r="K80" s="1"/>
  <c r="K91" s="1"/>
  <c r="S47"/>
  <c r="S48"/>
  <c r="S49"/>
  <c r="S50"/>
  <c r="S51"/>
  <c r="S52"/>
  <c r="S53"/>
  <c r="F31" i="64"/>
  <c r="F38" i="63"/>
  <c r="F42" s="1"/>
  <c r="F24"/>
  <c r="F28" s="1"/>
  <c r="F30" s="1"/>
  <c r="J41"/>
  <c r="J38"/>
  <c r="J24"/>
  <c r="J28" s="1"/>
  <c r="H24" i="64"/>
  <c r="H10"/>
  <c r="H11"/>
  <c r="H61" i="63"/>
  <c r="H60"/>
  <c r="H59"/>
  <c r="H58"/>
  <c r="H57"/>
  <c r="H56"/>
  <c r="H55"/>
  <c r="H62"/>
  <c r="M68" i="32"/>
  <c r="H17" i="64"/>
  <c r="D81" i="26"/>
  <c r="F81"/>
  <c r="S81" s="1"/>
  <c r="S82"/>
  <c r="O109"/>
  <c r="M109"/>
  <c r="M110" s="1"/>
  <c r="K109"/>
  <c r="H109"/>
  <c r="D109"/>
  <c r="O72"/>
  <c r="O73" s="1"/>
  <c r="O80" s="1"/>
  <c r="O91" s="1"/>
  <c r="M72"/>
  <c r="K72"/>
  <c r="H72"/>
  <c r="D72"/>
  <c r="S72" s="1"/>
  <c r="S73" s="1"/>
  <c r="J34" i="63"/>
  <c r="J35"/>
  <c r="J37"/>
  <c r="H37" s="1"/>
  <c r="F46"/>
  <c r="F52"/>
  <c r="H52" s="1"/>
  <c r="J52"/>
  <c r="J19"/>
  <c r="H19"/>
  <c r="F19"/>
  <c r="H9"/>
  <c r="H51"/>
  <c r="H50"/>
  <c r="H49"/>
  <c r="H48"/>
  <c r="H47"/>
  <c r="H36"/>
  <c r="H35"/>
  <c r="H34"/>
  <c r="H27"/>
  <c r="H26"/>
  <c r="H23"/>
  <c r="G32" i="52"/>
  <c r="G34" s="1"/>
  <c r="J62" i="63"/>
  <c r="J63"/>
  <c r="F62"/>
  <c r="E61" i="50"/>
  <c r="H36" i="64"/>
  <c r="F12"/>
  <c r="F22" s="1"/>
  <c r="F34"/>
  <c r="J12"/>
  <c r="J22" s="1"/>
  <c r="J34"/>
  <c r="H31"/>
  <c r="H34" s="1"/>
  <c r="H32"/>
  <c r="H33"/>
  <c r="H27"/>
  <c r="H26"/>
  <c r="H25"/>
  <c r="H15"/>
  <c r="H9"/>
  <c r="H12"/>
  <c r="H22" s="1"/>
  <c r="H43" s="1"/>
  <c r="H13"/>
  <c r="H14"/>
  <c r="H16"/>
  <c r="H18"/>
  <c r="H18" i="63"/>
  <c r="H16"/>
  <c r="H15"/>
  <c r="H14"/>
  <c r="H13"/>
  <c r="H12"/>
  <c r="H11"/>
  <c r="H10"/>
  <c r="O83" i="26"/>
  <c r="M83"/>
  <c r="S83" s="1"/>
  <c r="K83"/>
  <c r="H83"/>
  <c r="D83"/>
  <c r="Q73"/>
  <c r="Q80" s="1"/>
  <c r="Q91" s="1"/>
  <c r="F54"/>
  <c r="F80" s="1"/>
  <c r="F91" s="1"/>
  <c r="D54"/>
  <c r="D80" s="1"/>
  <c r="M73" i="32"/>
  <c r="K22"/>
  <c r="C22"/>
  <c r="C66" s="1"/>
  <c r="C77" s="1"/>
  <c r="E22"/>
  <c r="G22"/>
  <c r="G66" s="1"/>
  <c r="G77" s="1"/>
  <c r="I12"/>
  <c r="M12"/>
  <c r="I17"/>
  <c r="M17" s="1"/>
  <c r="I70"/>
  <c r="M70"/>
  <c r="M71"/>
  <c r="M72"/>
  <c r="M74"/>
  <c r="M75"/>
  <c r="K66"/>
  <c r="K77" s="1"/>
  <c r="E66"/>
  <c r="E77"/>
  <c r="M20"/>
  <c r="M19"/>
  <c r="M18"/>
  <c r="M16"/>
  <c r="M15"/>
  <c r="D3" i="64"/>
  <c r="G43"/>
  <c r="G14" i="50"/>
  <c r="G18" s="1"/>
  <c r="G28" s="1"/>
  <c r="G31" s="1"/>
  <c r="G15"/>
  <c r="G16"/>
  <c r="G34" s="1"/>
  <c r="D18"/>
  <c r="E18"/>
  <c r="E28" s="1"/>
  <c r="F18"/>
  <c r="G22"/>
  <c r="G27" s="1"/>
  <c r="G23"/>
  <c r="G24"/>
  <c r="G25"/>
  <c r="D27"/>
  <c r="E27"/>
  <c r="F27"/>
  <c r="D28"/>
  <c r="F28"/>
  <c r="G47"/>
  <c r="G48"/>
  <c r="E49"/>
  <c r="G49" s="1"/>
  <c r="G53" s="1"/>
  <c r="G62" s="1"/>
  <c r="G50"/>
  <c r="G51"/>
  <c r="F53"/>
  <c r="G57"/>
  <c r="G61" s="1"/>
  <c r="G58"/>
  <c r="G59"/>
  <c r="F61"/>
  <c r="F62" s="1"/>
  <c r="F64" s="1"/>
  <c r="G64" s="1"/>
  <c r="G63" s="1"/>
  <c r="E64"/>
  <c r="F65"/>
  <c r="G65" s="1"/>
  <c r="G68"/>
  <c r="G70" s="1"/>
  <c r="E69"/>
  <c r="E70" s="1"/>
  <c r="F70"/>
  <c r="T7" i="31"/>
  <c r="T8"/>
  <c r="T10"/>
  <c r="D11"/>
  <c r="F11"/>
  <c r="F17" s="1"/>
  <c r="H11"/>
  <c r="H17" s="1"/>
  <c r="H22" s="1"/>
  <c r="J11"/>
  <c r="L11"/>
  <c r="N11"/>
  <c r="N17" s="1"/>
  <c r="N22" s="1"/>
  <c r="P11"/>
  <c r="R11"/>
  <c r="J12"/>
  <c r="J17" s="1"/>
  <c r="J22" s="1"/>
  <c r="H13"/>
  <c r="T13" s="1"/>
  <c r="T14"/>
  <c r="T15"/>
  <c r="T16"/>
  <c r="D17"/>
  <c r="D22"/>
  <c r="L17"/>
  <c r="L22" s="1"/>
  <c r="P17"/>
  <c r="P22" s="1"/>
  <c r="R17"/>
  <c r="H19"/>
  <c r="T19"/>
  <c r="T20"/>
  <c r="T21"/>
  <c r="R22"/>
  <c r="X7" i="43"/>
  <c r="X8"/>
  <c r="X10"/>
  <c r="X11"/>
  <c r="D12"/>
  <c r="D19" s="1"/>
  <c r="F12"/>
  <c r="F19"/>
  <c r="F25" s="1"/>
  <c r="H12"/>
  <c r="H19" s="1"/>
  <c r="H25" s="1"/>
  <c r="J12"/>
  <c r="J19" s="1"/>
  <c r="J25" s="1"/>
  <c r="L12"/>
  <c r="L19" s="1"/>
  <c r="L25" s="1"/>
  <c r="N12"/>
  <c r="N19"/>
  <c r="N25" s="1"/>
  <c r="P12"/>
  <c r="P19" s="1"/>
  <c r="P25" s="1"/>
  <c r="R12"/>
  <c r="R19" s="1"/>
  <c r="R25" s="1"/>
  <c r="T12"/>
  <c r="T19" s="1"/>
  <c r="T25" s="1"/>
  <c r="V12"/>
  <c r="V19"/>
  <c r="V25" s="1"/>
  <c r="X13"/>
  <c r="X14"/>
  <c r="X15"/>
  <c r="X16"/>
  <c r="X17"/>
  <c r="X18"/>
  <c r="X21"/>
  <c r="X22"/>
  <c r="X23"/>
  <c r="X24"/>
  <c r="T30"/>
  <c r="T31"/>
  <c r="T33"/>
  <c r="D34"/>
  <c r="D40"/>
  <c r="F34"/>
  <c r="F40" s="1"/>
  <c r="F45" s="1"/>
  <c r="H34"/>
  <c r="J34"/>
  <c r="T34"/>
  <c r="L34"/>
  <c r="L40" s="1"/>
  <c r="L45" s="1"/>
  <c r="N34"/>
  <c r="N40" s="1"/>
  <c r="N45" s="1"/>
  <c r="P34"/>
  <c r="R34"/>
  <c r="R40" s="1"/>
  <c r="R45" s="1"/>
  <c r="J35"/>
  <c r="T35" s="1"/>
  <c r="H36"/>
  <c r="T36" s="1"/>
  <c r="T37"/>
  <c r="T38"/>
  <c r="T39"/>
  <c r="P40"/>
  <c r="P45" s="1"/>
  <c r="H42"/>
  <c r="T42"/>
  <c r="T43"/>
  <c r="T44"/>
  <c r="C14" i="36"/>
  <c r="E14"/>
  <c r="G14"/>
  <c r="I14"/>
  <c r="G38"/>
  <c r="I38"/>
  <c r="C13" i="13"/>
  <c r="E13"/>
  <c r="G13"/>
  <c r="I13"/>
  <c r="C12" i="11"/>
  <c r="C13" s="1"/>
  <c r="C22" s="1"/>
  <c r="E12"/>
  <c r="E13" s="1"/>
  <c r="E22" s="1"/>
  <c r="G12"/>
  <c r="I12"/>
  <c r="I13" s="1"/>
  <c r="I22" s="1"/>
  <c r="I41" s="1"/>
  <c r="I43" s="1"/>
  <c r="G13"/>
  <c r="G22" s="1"/>
  <c r="G41" s="1"/>
  <c r="G43" s="1"/>
  <c r="G36"/>
  <c r="G42" s="1"/>
  <c r="I36"/>
  <c r="I42" s="1"/>
  <c r="C14" i="9"/>
  <c r="E14"/>
  <c r="G14"/>
  <c r="I14"/>
  <c r="G13" i="6"/>
  <c r="I13"/>
  <c r="D11" i="26"/>
  <c r="D20" s="1"/>
  <c r="M11"/>
  <c r="M20" s="1"/>
  <c r="O11"/>
  <c r="O20" s="1"/>
  <c r="S12"/>
  <c r="H13"/>
  <c r="S13" s="1"/>
  <c r="K13"/>
  <c r="M13"/>
  <c r="O13"/>
  <c r="S14"/>
  <c r="S15"/>
  <c r="S16"/>
  <c r="S17"/>
  <c r="S18"/>
  <c r="S19"/>
  <c r="F20"/>
  <c r="I20"/>
  <c r="Q20"/>
  <c r="S25"/>
  <c r="S34" s="1"/>
  <c r="S26"/>
  <c r="S27"/>
  <c r="S28"/>
  <c r="S29"/>
  <c r="S30"/>
  <c r="S31"/>
  <c r="S32"/>
  <c r="S33"/>
  <c r="D34"/>
  <c r="F34"/>
  <c r="H34"/>
  <c r="I34"/>
  <c r="K34"/>
  <c r="M34"/>
  <c r="O34"/>
  <c r="Q34"/>
  <c r="M37"/>
  <c r="M39" s="1"/>
  <c r="M38"/>
  <c r="S38"/>
  <c r="D39"/>
  <c r="F39"/>
  <c r="H39"/>
  <c r="K39"/>
  <c r="O39"/>
  <c r="Q39"/>
  <c r="G54"/>
  <c r="I54"/>
  <c r="J54"/>
  <c r="L54"/>
  <c r="N54"/>
  <c r="O54"/>
  <c r="P54"/>
  <c r="Q54"/>
  <c r="R54"/>
  <c r="S59"/>
  <c r="S68" s="1"/>
  <c r="S60"/>
  <c r="S61"/>
  <c r="S62"/>
  <c r="S63"/>
  <c r="S64"/>
  <c r="S65"/>
  <c r="S66"/>
  <c r="S67"/>
  <c r="D68"/>
  <c r="F68"/>
  <c r="H68"/>
  <c r="I68"/>
  <c r="K68"/>
  <c r="M68"/>
  <c r="O68"/>
  <c r="Q68"/>
  <c r="S71"/>
  <c r="F73"/>
  <c r="H73"/>
  <c r="K73"/>
  <c r="M73"/>
  <c r="S84"/>
  <c r="S85"/>
  <c r="S86"/>
  <c r="S87"/>
  <c r="S88"/>
  <c r="S89"/>
  <c r="S90"/>
  <c r="G91"/>
  <c r="I91"/>
  <c r="J91"/>
  <c r="L91"/>
  <c r="N91"/>
  <c r="P91"/>
  <c r="R91"/>
  <c r="S96"/>
  <c r="S105" s="1"/>
  <c r="S97"/>
  <c r="S98"/>
  <c r="S99"/>
  <c r="S100"/>
  <c r="S101"/>
  <c r="S102"/>
  <c r="S103"/>
  <c r="S104"/>
  <c r="D105"/>
  <c r="F105"/>
  <c r="H105"/>
  <c r="I105"/>
  <c r="K105"/>
  <c r="M105"/>
  <c r="O105"/>
  <c r="Q105"/>
  <c r="S108"/>
  <c r="D110"/>
  <c r="F110"/>
  <c r="H110"/>
  <c r="K110"/>
  <c r="O110"/>
  <c r="Q110"/>
  <c r="C13" i="3"/>
  <c r="E13"/>
  <c r="G13"/>
  <c r="I13"/>
  <c r="G19"/>
  <c r="I19"/>
  <c r="G29" i="32"/>
  <c r="G32"/>
  <c r="G30"/>
  <c r="G31"/>
  <c r="C32"/>
  <c r="E32"/>
  <c r="C36"/>
  <c r="I41"/>
  <c r="I42"/>
  <c r="I43"/>
  <c r="I44"/>
  <c r="I45"/>
  <c r="I46"/>
  <c r="I47"/>
  <c r="E48"/>
  <c r="I48" s="1"/>
  <c r="M49" s="1"/>
  <c r="G48"/>
  <c r="G52" s="1"/>
  <c r="E52"/>
  <c r="I52" s="1"/>
  <c r="I51"/>
  <c r="E60"/>
  <c r="G69" i="50"/>
  <c r="G50" i="32"/>
  <c r="I50" s="1"/>
  <c r="K20" i="26"/>
  <c r="T12" i="31"/>
  <c r="I22" i="32"/>
  <c r="I66" s="1"/>
  <c r="I77" s="1"/>
  <c r="S46" i="26"/>
  <c r="H40" i="43"/>
  <c r="H45" s="1"/>
  <c r="X12"/>
  <c r="H46" i="63"/>
  <c r="D45" i="43"/>
  <c r="F63" i="63"/>
  <c r="F65" s="1"/>
  <c r="F68" s="1"/>
  <c r="G30" i="50"/>
  <c r="G33" s="1"/>
  <c r="G35" s="1"/>
  <c r="P18" i="86"/>
  <c r="J30" i="63" l="1"/>
  <c r="H28"/>
  <c r="H30" s="1"/>
  <c r="F22" i="31"/>
  <c r="T17"/>
  <c r="H63" i="63"/>
  <c r="D25" i="43"/>
  <c r="X19"/>
  <c r="X25" s="1"/>
  <c r="J30" i="64"/>
  <c r="J43"/>
  <c r="S80" i="26"/>
  <c r="S91" s="1"/>
  <c r="D91"/>
  <c r="F43" i="64"/>
  <c r="F30"/>
  <c r="F35" s="1"/>
  <c r="F40" s="1"/>
  <c r="T22" i="31"/>
  <c r="S109" i="26"/>
  <c r="S110" s="1"/>
  <c r="D73"/>
  <c r="S37"/>
  <c r="S39" s="1"/>
  <c r="S11"/>
  <c r="S20" s="1"/>
  <c r="E53" i="50"/>
  <c r="E62" s="1"/>
  <c r="E63" s="1"/>
  <c r="J40" i="43"/>
  <c r="J45" s="1"/>
  <c r="T45" s="1"/>
  <c r="M22" i="32"/>
  <c r="M66" s="1"/>
  <c r="M77" s="1"/>
  <c r="H24" i="63"/>
  <c r="H20" i="26"/>
  <c r="T11" i="31"/>
  <c r="H13" i="86"/>
  <c r="H20" s="1"/>
  <c r="J42" i="63"/>
  <c r="D24" i="23"/>
  <c r="D37"/>
  <c r="T40" i="43" l="1"/>
  <c r="H42" i="63"/>
  <c r="J65"/>
  <c r="J68" s="1"/>
  <c r="H30" i="64"/>
  <c r="H35" s="1"/>
  <c r="J35"/>
  <c r="J40" s="1"/>
  <c r="H40" s="1"/>
  <c r="H65" i="63"/>
  <c r="H68" s="1"/>
</calcChain>
</file>

<file path=xl/comments1.xml><?xml version="1.0" encoding="utf-8"?>
<comments xmlns="http://schemas.openxmlformats.org/spreadsheetml/2006/main">
  <authors>
    <author>AvrakotouD</author>
  </authors>
  <commentList>
    <comment ref="K80" authorId="0">
      <text>
        <r>
          <rPr>
            <b/>
            <sz val="8"/>
            <color indexed="81"/>
            <rFont val="Tahoma"/>
          </rPr>
          <t>AvrakotouD:</t>
        </r>
        <r>
          <rPr>
            <sz val="8"/>
            <color indexed="81"/>
            <rFont val="Tahoma"/>
          </rPr>
          <t xml:space="preserve">
TRANSFER OF INVENTORIES 2003</t>
        </r>
      </text>
    </comment>
  </commentList>
</comments>
</file>

<file path=xl/sharedStrings.xml><?xml version="1.0" encoding="utf-8"?>
<sst xmlns="http://schemas.openxmlformats.org/spreadsheetml/2006/main" count="677" uniqueCount="438">
  <si>
    <t>Titan Cement S.A. and its subsidiaries</t>
  </si>
  <si>
    <t>Group</t>
  </si>
  <si>
    <t>Company</t>
  </si>
  <si>
    <t>Overseas</t>
  </si>
  <si>
    <t>The employees in the Group are employed on a full-time basis.</t>
  </si>
  <si>
    <t>The Group has not pledged its inventories as collateral.</t>
  </si>
  <si>
    <t>There are no litigations which may have an important and material impact on the financial status of the Group. The fiscal years 1998 to 2002 have not been audited by the tax authorities and the Group's tax obligations for those years have not been finalised.</t>
  </si>
  <si>
    <t>½</t>
  </si>
  <si>
    <t>Capital and Reserves</t>
  </si>
  <si>
    <t>Less: Treasury shares</t>
  </si>
  <si>
    <t xml:space="preserve">Hedging reserve </t>
  </si>
  <si>
    <t xml:space="preserve">Retained earnings prior year </t>
  </si>
  <si>
    <t xml:space="preserve"> Minority interest</t>
  </si>
  <si>
    <t>Non - current liabilities</t>
  </si>
  <si>
    <t xml:space="preserve"> Borrowings</t>
  </si>
  <si>
    <t xml:space="preserve"> Deferred tax liabilities</t>
  </si>
  <si>
    <t>Trade and other investments</t>
  </si>
  <si>
    <t xml:space="preserve"> Finance costs - net</t>
  </si>
  <si>
    <t xml:space="preserve"> Deferred income - Government grants</t>
  </si>
  <si>
    <t xml:space="preserve"> Other liabilities</t>
  </si>
  <si>
    <t>Payables towards subsidiaries</t>
  </si>
  <si>
    <t>Bank Borrowings</t>
  </si>
  <si>
    <t>EBITDA</t>
  </si>
  <si>
    <t>Termination of lease (Note 26)</t>
  </si>
  <si>
    <t>Fair value losses (Note 2, 26)</t>
  </si>
  <si>
    <t xml:space="preserve">Reclassification of investment property (Note 10) </t>
  </si>
  <si>
    <t>Transfer of major spare parts and stand by equipment to property, plant and equipment (Note 8)</t>
  </si>
  <si>
    <t>Reclassification of assets to other categories</t>
  </si>
  <si>
    <t>Profit after tax</t>
  </si>
  <si>
    <t>Available-for-sale investments, comprising mainly of marketable equity securities, are fair valued annually at the close of business on 31 December. For investments traded in an active market, fair value is determined by reference to Stock Exchange quoted bid prices. For other investments, fair value is estimated by reference to the current market value of similar instruments or by reference to the discounted cash flows of the underlying net assets. There were no provisions for impairment on available-for-sale investments in 2002 or 2001.</t>
  </si>
  <si>
    <t>US$</t>
  </si>
  <si>
    <t>Movement in currency translation reserve</t>
  </si>
  <si>
    <t>Net profit before minority interest</t>
  </si>
  <si>
    <t xml:space="preserve"> Sales</t>
  </si>
  <si>
    <t xml:space="preserve"> Cost of sales</t>
  </si>
  <si>
    <t xml:space="preserve"> Depreciation and amortisation</t>
  </si>
  <si>
    <t xml:space="preserve"> Other operating income</t>
  </si>
  <si>
    <t xml:space="preserve"> Administrative expenses</t>
  </si>
  <si>
    <t xml:space="preserve"> Depreciation</t>
  </si>
  <si>
    <t xml:space="preserve"> Distribution costs</t>
  </si>
  <si>
    <t xml:space="preserve"> Staff costs (provision for severance pay)</t>
  </si>
  <si>
    <t xml:space="preserve"> Other operating expenses</t>
  </si>
  <si>
    <t xml:space="preserve"> Goodwill amortisation</t>
  </si>
  <si>
    <t xml:space="preserve"> Impairement of assets</t>
  </si>
  <si>
    <t xml:space="preserve"> Loss on sale of discontinued operation</t>
  </si>
  <si>
    <t xml:space="preserve"> Interest received</t>
  </si>
  <si>
    <t xml:space="preserve"> Interest expense</t>
  </si>
  <si>
    <t xml:space="preserve"> Dividend income</t>
  </si>
  <si>
    <t xml:space="preserve"> Foreign exchange gains/(losses)</t>
  </si>
  <si>
    <t xml:space="preserve"> Gains/(losses) from available-for-sale investments</t>
  </si>
  <si>
    <t xml:space="preserve"> Income tax expense</t>
  </si>
  <si>
    <t xml:space="preserve"> Other taxes</t>
  </si>
  <si>
    <t xml:space="preserve"> Deferred tax</t>
  </si>
  <si>
    <t>Total income tax expense</t>
  </si>
  <si>
    <t>31 December 2002</t>
  </si>
  <si>
    <t>Διαθέσιμα προς πώληση χρηματοοικονομικά στοιχεία</t>
  </si>
  <si>
    <t xml:space="preserve">Provisional tax prepayment, provision for doubtful debts </t>
  </si>
  <si>
    <t>Reclassification of goodwill relating to TCI i.r.o N2166, reversal of revaluations</t>
  </si>
  <si>
    <t>Additional provision as per HPW</t>
  </si>
  <si>
    <t>Provision for PPE (IONIA SA) as per HPW</t>
  </si>
  <si>
    <t>Disposal of subsidiaries</t>
  </si>
  <si>
    <t>Acquisition of subsdiaries</t>
  </si>
  <si>
    <t>Minority interests (see Note 30)</t>
  </si>
  <si>
    <t>Movement in derivative hedging position (Note 22)</t>
  </si>
  <si>
    <t>Deferred tax on derivative hedging position (Note 19)</t>
  </si>
  <si>
    <t>At 31 December 2003</t>
  </si>
  <si>
    <t>Finished goods</t>
  </si>
  <si>
    <t>Profit before tax</t>
  </si>
  <si>
    <t>Social security costs</t>
  </si>
  <si>
    <t xml:space="preserve">Μεταφορά Παγίων λόγω Αλλαγής Κατηγορίας </t>
  </si>
  <si>
    <t>Quarries</t>
  </si>
  <si>
    <t>Land</t>
  </si>
  <si>
    <t>Buildings</t>
  </si>
  <si>
    <t>Translation Reserve</t>
  </si>
  <si>
    <t>Preferred ordinary shares</t>
  </si>
  <si>
    <t>At 31 December 2001</t>
  </si>
  <si>
    <t>Accumulated depreciation</t>
  </si>
  <si>
    <t xml:space="preserve">Additions </t>
  </si>
  <si>
    <t>Disposals</t>
  </si>
  <si>
    <t>At end of year</t>
  </si>
  <si>
    <t>At beginning of year</t>
  </si>
  <si>
    <t>Raw materials</t>
  </si>
  <si>
    <t>Work in progress</t>
  </si>
  <si>
    <t>Cash and cash equivalents</t>
  </si>
  <si>
    <t>Cash at bank and in hand</t>
  </si>
  <si>
    <t>Trade and other payables</t>
  </si>
  <si>
    <t>Not later than 1 year</t>
  </si>
  <si>
    <t>Later than 1 year and not later than 5 years</t>
  </si>
  <si>
    <t>Share premium</t>
  </si>
  <si>
    <t>Staff costs</t>
  </si>
  <si>
    <t>Wages and salaries</t>
  </si>
  <si>
    <t>Leased assets under finance leases</t>
  </si>
  <si>
    <t>Exchange gains / (losses) on translation of financial statements of foreign operations</t>
  </si>
  <si>
    <t>Υπόλοιπο την 1η Ιανουαρίου 2003</t>
  </si>
  <si>
    <t>Μεταβολή στο αποθεματικό των συναλλαγματικών διαφορών</t>
  </si>
  <si>
    <t>Μεταβολές στις διαφορές αντιστάθμισης κινδύνου επενδύσεων (Σημ. 22)</t>
  </si>
  <si>
    <t>Υπόλοιπο την 31η Δεκεμβρίου 2004</t>
  </si>
  <si>
    <t>Κέρδη από συν/κές διαφορές</t>
  </si>
  <si>
    <t xml:space="preserve">Retained earnings </t>
  </si>
  <si>
    <t xml:space="preserve"> Provisions for other liabilities and charges</t>
  </si>
  <si>
    <t>The Company has no pledges on the Company's owned assets.</t>
  </si>
  <si>
    <t>Bank guarantees given for Titan Cement SA</t>
  </si>
  <si>
    <t>Guarantees given in respect of government grants relating to property, plant and equipment</t>
  </si>
  <si>
    <t>Transfer from inventories (Note 14)</t>
  </si>
  <si>
    <t>Transfer of major spare parts to PPE and provision for damaged inventories</t>
  </si>
  <si>
    <t>Investment in subsidiaries as per books</t>
  </si>
  <si>
    <t>Net cash outflow on acquisitions</t>
  </si>
  <si>
    <t>Comprises of:</t>
  </si>
  <si>
    <t>Cash and cash equivalents in subsidiaries acquired *</t>
  </si>
  <si>
    <t>* Includes bank overdrafts</t>
  </si>
  <si>
    <t>Retirement &amp; termination benefits (Note 20)</t>
  </si>
  <si>
    <t>Disposals (Note 26)</t>
  </si>
  <si>
    <t>Transfers from inventories (Note 14)</t>
  </si>
  <si>
    <t>Depreciation charge (Note 2)</t>
  </si>
  <si>
    <t>Interests in subsidiaries and joint ventures</t>
  </si>
  <si>
    <t>Liabilities</t>
  </si>
  <si>
    <t>AS01</t>
  </si>
  <si>
    <t>AS02</t>
  </si>
  <si>
    <t>AS03</t>
  </si>
  <si>
    <t>AS04</t>
  </si>
  <si>
    <t>AS05</t>
  </si>
  <si>
    <t>AS06</t>
  </si>
  <si>
    <t>AS07</t>
  </si>
  <si>
    <t>AS09</t>
  </si>
  <si>
    <t>AS09a</t>
  </si>
  <si>
    <t>AS10</t>
  </si>
  <si>
    <t>AS51</t>
  </si>
  <si>
    <t>AS52</t>
  </si>
  <si>
    <t>AS52a</t>
  </si>
  <si>
    <t>AS53</t>
  </si>
  <si>
    <t>AS54</t>
  </si>
  <si>
    <t>EQ01</t>
  </si>
  <si>
    <t>EQ02</t>
  </si>
  <si>
    <t>EQ03</t>
  </si>
  <si>
    <t>EQ04</t>
  </si>
  <si>
    <t>EQ05</t>
  </si>
  <si>
    <t>EQ05b</t>
  </si>
  <si>
    <t>EQ06</t>
  </si>
  <si>
    <t>EQ07</t>
  </si>
  <si>
    <t>LB01</t>
  </si>
  <si>
    <t>LB10</t>
  </si>
  <si>
    <t>LB11</t>
  </si>
  <si>
    <t>LB12</t>
  </si>
  <si>
    <t>LB13</t>
  </si>
  <si>
    <t>LB14</t>
  </si>
  <si>
    <t>LB15</t>
  </si>
  <si>
    <t>LB51</t>
  </si>
  <si>
    <t>LB51a</t>
  </si>
  <si>
    <t>LB52</t>
  </si>
  <si>
    <t>LB53</t>
  </si>
  <si>
    <t>LB53a</t>
  </si>
  <si>
    <t>LB54</t>
  </si>
  <si>
    <t>LB55</t>
  </si>
  <si>
    <t>PL01</t>
  </si>
  <si>
    <t>PL02</t>
  </si>
  <si>
    <t>PL03</t>
  </si>
  <si>
    <t>PL04</t>
  </si>
  <si>
    <t>PL05</t>
  </si>
  <si>
    <t>PL06</t>
  </si>
  <si>
    <t>PL07</t>
  </si>
  <si>
    <t>PL07a</t>
  </si>
  <si>
    <t>PL08</t>
  </si>
  <si>
    <t>PL09</t>
  </si>
  <si>
    <t>PL09a</t>
  </si>
  <si>
    <t>PL09b</t>
  </si>
  <si>
    <t>PL09c</t>
  </si>
  <si>
    <t>PL09d</t>
  </si>
  <si>
    <t>PL10</t>
  </si>
  <si>
    <t>Assets</t>
  </si>
  <si>
    <t>Goodwill</t>
  </si>
  <si>
    <t>Total equity</t>
  </si>
  <si>
    <t xml:space="preserve">Transfer to reserves </t>
  </si>
  <si>
    <t xml:space="preserve">Cost </t>
  </si>
  <si>
    <t>Provisions for other liabilities and charges</t>
  </si>
  <si>
    <t>Share capital</t>
  </si>
  <si>
    <t>Contingencies and Commitments</t>
  </si>
  <si>
    <t>Retirement and termination benefit obligations</t>
  </si>
  <si>
    <t>Short-term bank deposits</t>
  </si>
  <si>
    <t>Reserve from revaluation of affiliated companies</t>
  </si>
  <si>
    <t>Capitalisation of reserves</t>
  </si>
  <si>
    <t>Transfer to reserves</t>
  </si>
  <si>
    <t xml:space="preserve">Επαναταξινόμηση από την Πώληση Θυγατρικής </t>
  </si>
  <si>
    <t>Μεταβολές λόγω εφαρμογής των Δ.Λ.Π στην διάρκεια της χρήσης 2002</t>
  </si>
  <si>
    <t>Fair value and other reserves</t>
  </si>
  <si>
    <t>Special reserve</t>
  </si>
  <si>
    <t>Legal reserve</t>
  </si>
  <si>
    <t>On 9 January 2003, Balkan Cement Enteprises Limited entered into an option agreement to acquire the 98% share capital and loan of Sharr Beiteiligungs GmbH for EURO 2,9 million and 16,5 million respectively.  On the same date the Company entered into another agreement with the same related party for assignment to its related party the loan receivable from Sharr Beiteiligungs GmbH up to the amount of EURO 16,5 million.</t>
  </si>
  <si>
    <t>(all amounts are shown in Euro unless otherwise stated)</t>
  </si>
  <si>
    <t>Current liabilities</t>
  </si>
  <si>
    <t>Current tax liabilities</t>
  </si>
  <si>
    <t>Shareholders for dividends</t>
  </si>
  <si>
    <t>Total liabilities</t>
  </si>
  <si>
    <t>Total equity and liabilities</t>
  </si>
  <si>
    <t>Gross profit</t>
  </si>
  <si>
    <t xml:space="preserve">Subsequent to year-end, there has been a substantial devaluation of the Egyptian Pound which may indicate an impairment in that the carrying amount of one of its subsidiaries in Egypt, Iapetos Ltd, may not be recoverable, which in turn will have the effect of substantially reducing the carrying amount of the Group's investment in that subsidiary.   </t>
  </si>
  <si>
    <t>The investment properties are valued annually on 31 December at fair values comprising open market values by an independent professionally qualified valuer.  The amounts included in shareholders' equity at the date of adoption of IFRS 40 have been included in retained earnings.</t>
  </si>
  <si>
    <t>Ispatitan S.A.</t>
  </si>
  <si>
    <t>Year ended 31 December 2004</t>
  </si>
  <si>
    <t>Balance at 1 January 2004</t>
  </si>
  <si>
    <t>Balance at 31 December 2004</t>
  </si>
  <si>
    <t>Maintenance stores</t>
  </si>
  <si>
    <t>Revaluation surplus (Note 33)</t>
  </si>
  <si>
    <t>Sudsidiary purchased (Note 35)</t>
  </si>
  <si>
    <t>Disposal of subsidiary (Note 3)</t>
  </si>
  <si>
    <t>Transfer to assets held for sale (Note 16)</t>
  </si>
  <si>
    <t>Owned</t>
  </si>
  <si>
    <t xml:space="preserve">Opening net book amount </t>
  </si>
  <si>
    <t>Closing net book amount</t>
  </si>
  <si>
    <t>Opening net book amount</t>
  </si>
  <si>
    <t>Net book amount</t>
  </si>
  <si>
    <t>Reclassification of assets to another category</t>
  </si>
  <si>
    <t xml:space="preserve">Απαλλοτρίωση Παγίου (σημ.7)  </t>
  </si>
  <si>
    <t>Post balance sheet event</t>
  </si>
  <si>
    <t>Short-term bank deposits comprise primarily of time deposits and REPOS.  The effective interest rates on these short-term bank deposits are based on Euribor rates, are negotiated on a case by case basis and have an average maturity period of seven days.</t>
  </si>
  <si>
    <t>Commitments</t>
  </si>
  <si>
    <t>Contingent liabilities</t>
  </si>
  <si>
    <t>Guarantees to third parties on behalf of subsidiaries</t>
  </si>
  <si>
    <t>Other guarantees</t>
  </si>
  <si>
    <t>25. Αποθεματικό αναπροσαρμογών και λοιπά αποθεματικά</t>
  </si>
  <si>
    <t>Contingency reserve</t>
  </si>
  <si>
    <t>Investment grants for fixed assets</t>
  </si>
  <si>
    <t>Tax exempt reserves under special laws</t>
  </si>
  <si>
    <t>Profit before taxation</t>
  </si>
  <si>
    <t>Exceptional item</t>
  </si>
  <si>
    <t>Discontinued operations:</t>
  </si>
  <si>
    <t>Contingencies</t>
  </si>
  <si>
    <t>Balance at 1 January 2001 (as previously reported)</t>
  </si>
  <si>
    <t>Effect of adopting IFRS</t>
  </si>
  <si>
    <t>Transfer from retained earnings</t>
  </si>
  <si>
    <t>At 31 December 2004</t>
  </si>
  <si>
    <t>Reconciliation of Equity at 31 December 2004</t>
  </si>
  <si>
    <t>Deferred tax liability for 2004</t>
  </si>
  <si>
    <t>Set off of tax prepayment and reclassification of other taxes to trade and other payables</t>
  </si>
  <si>
    <t>Reclassification of other taxes, accruals and open FEC's</t>
  </si>
  <si>
    <t>Reconciliation of Profit and Loss at 31 December 2004</t>
  </si>
  <si>
    <t>Balance at 1 January  (as per IFRS)</t>
  </si>
  <si>
    <t>Reserve from revaluation of other assets</t>
  </si>
  <si>
    <t>Currency translation differences on derivative hedging position</t>
  </si>
  <si>
    <t>Capital commitments</t>
  </si>
  <si>
    <t>Later than 5 years</t>
  </si>
  <si>
    <t>Πάγια (σημ. 10):</t>
  </si>
  <si>
    <t xml:space="preserve">Inventories </t>
  </si>
  <si>
    <t>Inventories (at cost)</t>
  </si>
  <si>
    <t>Εμπορεύματα</t>
  </si>
  <si>
    <t>Σύνολο</t>
  </si>
  <si>
    <t>(all amounts in €)</t>
  </si>
  <si>
    <t>2002                    σε €</t>
  </si>
  <si>
    <t xml:space="preserve">Προσθήκες </t>
  </si>
  <si>
    <t>Πωλήσεις</t>
  </si>
  <si>
    <t>Βελτιώσεις σε Μισθωμένα Πάγια*</t>
  </si>
  <si>
    <t>Έπιπλα &amp; Εξοπλισμός Γραφείων</t>
  </si>
  <si>
    <t>2001                σε €</t>
  </si>
  <si>
    <t xml:space="preserve">Πρώτες Ύλες </t>
  </si>
  <si>
    <t>Ημιτελή Προϊόντα</t>
  </si>
  <si>
    <t>Τελικά Προϊόντα</t>
  </si>
  <si>
    <t>Αποθέματα που έχουν υποθηκευτεί σαν εγγύηση για δάνεια:</t>
  </si>
  <si>
    <t>Πάγια  προς Πώληση</t>
  </si>
  <si>
    <t xml:space="preserve">Λατομεία </t>
  </si>
  <si>
    <t xml:space="preserve">Οικόπεδα </t>
  </si>
  <si>
    <t>Κτίρια</t>
  </si>
  <si>
    <t>Μηχανήματα &amp; Εγκαταστάσεις</t>
  </si>
  <si>
    <t>Σύνοψη Αποθεμάτων &amp; Παγίων προς Πώληση:</t>
  </si>
  <si>
    <t>Αποθέματα</t>
  </si>
  <si>
    <t>Πάγια</t>
  </si>
  <si>
    <t>Ordinary shares</t>
  </si>
  <si>
    <t>Property, plant and equipment</t>
  </si>
  <si>
    <t>Plant &amp; equipment</t>
  </si>
  <si>
    <t>Motor vehicles</t>
  </si>
  <si>
    <t>Office furniture, fixtures and equipment</t>
  </si>
  <si>
    <t>Total</t>
  </si>
  <si>
    <t>Additions</t>
  </si>
  <si>
    <t>Assets under construction</t>
  </si>
  <si>
    <t>Disposals (Note 34)</t>
  </si>
  <si>
    <t>Συμμετοχές</t>
  </si>
  <si>
    <t>Deferred tax on derivative hedging position</t>
  </si>
  <si>
    <t>Balance at 31 December  2001</t>
  </si>
  <si>
    <t>Balance at 31 December 2002</t>
  </si>
  <si>
    <t>Notes</t>
  </si>
  <si>
    <t>(all amounts in EURO)</t>
  </si>
  <si>
    <t>Shareholders' Equity</t>
  </si>
  <si>
    <t>Share Premium</t>
  </si>
  <si>
    <t>Year ended 31 December 2001</t>
  </si>
  <si>
    <t>As per Greek statutory records</t>
  </si>
  <si>
    <t>As per IAS reporting pack</t>
  </si>
  <si>
    <t>N1</t>
  </si>
  <si>
    <t>Movement in derivative hedging position</t>
  </si>
  <si>
    <t>Dividends</t>
  </si>
  <si>
    <t>N2</t>
  </si>
  <si>
    <t>Share issue - share options</t>
  </si>
  <si>
    <t>N3</t>
  </si>
  <si>
    <t>* Legal, Special and Tax Exempt reserves</t>
  </si>
  <si>
    <t>Effect of adopting IAS 39 and IAS 40</t>
  </si>
  <si>
    <t>Net equity</t>
  </si>
  <si>
    <t>Forward exchange contracts (derivatives)</t>
  </si>
  <si>
    <t>Provision for doubtful debts</t>
  </si>
  <si>
    <t>IAS 40</t>
  </si>
  <si>
    <t>Revaluation of Reserves</t>
  </si>
  <si>
    <t>From Retained Earnings</t>
  </si>
  <si>
    <t>Movement in reserves</t>
  </si>
  <si>
    <t>Movement</t>
  </si>
  <si>
    <t>Revaluation of affiliated companies</t>
  </si>
  <si>
    <t>Revaluation of fixed assets</t>
  </si>
  <si>
    <t xml:space="preserve">Tax exempt reserves </t>
  </si>
  <si>
    <t>Hedging reserve</t>
  </si>
  <si>
    <t>Statement of appropriation of earnings</t>
  </si>
  <si>
    <t>(ποσά σε χιλιάδες €)</t>
  </si>
  <si>
    <t>Impairment charges (Note 2)</t>
  </si>
  <si>
    <t>Available-for-sale investments</t>
  </si>
  <si>
    <t>Total assets</t>
  </si>
  <si>
    <t>Retained earnings</t>
  </si>
  <si>
    <t>Transfer from investment properties (Note 10)</t>
  </si>
  <si>
    <t>Capital expenditure contracted for at the balance sheet date but not recognised in the consolidated financial statements is as follows:</t>
  </si>
  <si>
    <t>Operating lease commitments - where a Group Company is the lessee</t>
  </si>
  <si>
    <t>Greek GAAP</t>
  </si>
  <si>
    <t>Effect of transition to IFRS</t>
  </si>
  <si>
    <t>IFRS</t>
  </si>
  <si>
    <t>PL02a</t>
  </si>
  <si>
    <t>PL04a</t>
  </si>
  <si>
    <t>PL07b</t>
  </si>
  <si>
    <t>PL11</t>
  </si>
  <si>
    <t>PL11a</t>
  </si>
  <si>
    <t>PL12</t>
  </si>
  <si>
    <t>PL13</t>
  </si>
  <si>
    <t xml:space="preserve"> Extraordinary item</t>
  </si>
  <si>
    <t>PL14</t>
  </si>
  <si>
    <t xml:space="preserve">Depreciation policy i.r.o IFRS </t>
  </si>
  <si>
    <t>Reclassification of investment properties</t>
  </si>
  <si>
    <t>Reclassification of derivative hedging position iro IFRS</t>
  </si>
  <si>
    <t>Reclassification of government grants iro IFRS</t>
  </si>
  <si>
    <t>Reconciliation to International Financial Reporting Standards ("IFRS") (continued)</t>
  </si>
  <si>
    <t>Non - current assets</t>
  </si>
  <si>
    <t xml:space="preserve"> Property, plant and equipment</t>
  </si>
  <si>
    <t xml:space="preserve"> Investment property</t>
  </si>
  <si>
    <t xml:space="preserve"> Intangible assets</t>
  </si>
  <si>
    <t xml:space="preserve"> Goodwill</t>
  </si>
  <si>
    <t xml:space="preserve"> Investment in subsidiaries and joint ventures</t>
  </si>
  <si>
    <t xml:space="preserve"> Other investments</t>
  </si>
  <si>
    <t>Profit/(Loss) for the year from discontinued operations</t>
  </si>
  <si>
    <t>Effect of adopting IFRS 39 (Convertible Debentures)</t>
  </si>
  <si>
    <t xml:space="preserve"> Equity component of Convertible Debt</t>
  </si>
  <si>
    <t>Τακτικό αποθεματικό</t>
  </si>
  <si>
    <t>Ειδικό  αποθεματικό</t>
  </si>
  <si>
    <t>Έκτακτο αποθεματικό</t>
  </si>
  <si>
    <t xml:space="preserve">Αποθεματικό ειδικών διατάξεων και νόμων </t>
  </si>
  <si>
    <t>Συναλλαγματικές διαφορές  αντιστάθμισης κινδύνου</t>
  </si>
  <si>
    <t>Διαφορές ενοποίησης</t>
  </si>
  <si>
    <t>Μεταφορά από τα κέρδη εις νέο</t>
  </si>
  <si>
    <t>Αναβαλλόμενος φόρος επί της μεταβολής του αποθεματικού αντιστάθμισης κινδύνου επενδύσεων (Σημ. 19)</t>
  </si>
  <si>
    <t>Υπόλοιπο την 31 Δεκεμβρίου 2003</t>
  </si>
  <si>
    <t xml:space="preserve"> Investments in joint ventures</t>
  </si>
  <si>
    <t xml:space="preserve"> Receivables</t>
  </si>
  <si>
    <t xml:space="preserve"> Receivables from associated companies</t>
  </si>
  <si>
    <t xml:space="preserve"> Deferred tax assets</t>
  </si>
  <si>
    <t xml:space="preserve"> Current assets</t>
  </si>
  <si>
    <t xml:space="preserve"> Inventories</t>
  </si>
  <si>
    <t xml:space="preserve"> Receivables and Prepayments</t>
  </si>
  <si>
    <t xml:space="preserve"> Receivables from subsidiaries</t>
  </si>
  <si>
    <t>Greece</t>
  </si>
  <si>
    <t>Net profit</t>
  </si>
  <si>
    <t>Borrowings</t>
  </si>
  <si>
    <t>Negative goodwill written-off</t>
  </si>
  <si>
    <t>Impairment charges of assets</t>
  </si>
  <si>
    <t>Operating profit</t>
  </si>
  <si>
    <t>Αναβαλλόμενες φορολογικές απαιτήσεις</t>
  </si>
  <si>
    <t>(*=attributable to cash &amp; cash equivalents, including bank overdrafts)</t>
  </si>
  <si>
    <t>Net profit per income statement</t>
  </si>
  <si>
    <t>Statement of Changes in Shareholders' Equity</t>
  </si>
  <si>
    <t>Year ended 31 December 2003</t>
  </si>
  <si>
    <t>Balance at 1 January 2003</t>
  </si>
  <si>
    <t>Balance at 31 December 2003</t>
  </si>
  <si>
    <t>Investment properties</t>
  </si>
  <si>
    <t xml:space="preserve">Συναλλαγματικές Διαφορές </t>
  </si>
  <si>
    <t>Acquisition and disposal of subsidiaries</t>
  </si>
  <si>
    <t>During the year under review the Group disposed of its interests in the following subsidiaries:</t>
  </si>
  <si>
    <t>Infoplan S.A.*</t>
  </si>
  <si>
    <t>Medcement Trading Co.</t>
  </si>
  <si>
    <t>Percentage held and disposed</t>
  </si>
  <si>
    <t>(* = ceased trading operations)</t>
  </si>
  <si>
    <t>€</t>
  </si>
  <si>
    <t>Accounts receivable</t>
  </si>
  <si>
    <t>Accounts payable</t>
  </si>
  <si>
    <t>Taxes payable</t>
  </si>
  <si>
    <t>Short-term bank loan</t>
  </si>
  <si>
    <t>Net book value</t>
  </si>
  <si>
    <t xml:space="preserve">Proceeds from disposals (gross)  </t>
  </si>
  <si>
    <t>Profit/(loss) from disposal and cessation</t>
  </si>
  <si>
    <t>Cash and cash equivalents in subsidiares disposed</t>
  </si>
  <si>
    <t>Net cash proceeds from disposals</t>
  </si>
  <si>
    <t>During the year under review the Group acquired interests in the following subsidiaries:</t>
  </si>
  <si>
    <t>Cementara Kosjeric A.D.</t>
  </si>
  <si>
    <t>Percentage acquired</t>
  </si>
  <si>
    <t>Inventory</t>
  </si>
  <si>
    <t>Investments</t>
  </si>
  <si>
    <t>Long-term loans</t>
  </si>
  <si>
    <t>Fair value of net assets acquired</t>
  </si>
  <si>
    <t xml:space="preserve">Total purchase consideration </t>
  </si>
  <si>
    <t>Κεφαλαιοποίηση αποθεματικών</t>
  </si>
  <si>
    <t>Net earnings after taxes as per Greek law</t>
  </si>
  <si>
    <t>Less: Dividends</t>
  </si>
  <si>
    <t>Less: Distributions to management</t>
  </si>
  <si>
    <t>ASSETS</t>
  </si>
  <si>
    <t>Intangible assets</t>
  </si>
  <si>
    <t>Receivables and prepayments</t>
  </si>
  <si>
    <t>Total current assets</t>
  </si>
  <si>
    <t>TOTAL ASSETS</t>
  </si>
  <si>
    <t>LIABILITIES</t>
  </si>
  <si>
    <t>Trade and other payabales</t>
  </si>
  <si>
    <t>Total liabilities (a)</t>
  </si>
  <si>
    <t>Revenue</t>
  </si>
  <si>
    <t>Cost of sales</t>
  </si>
  <si>
    <t>Other operating income</t>
  </si>
  <si>
    <t>Administrative expenses</t>
  </si>
  <si>
    <t>Other operating expenses</t>
  </si>
  <si>
    <t>Profits before taxes</t>
  </si>
  <si>
    <t>Profits after taxes</t>
  </si>
  <si>
    <t>Total non current assets</t>
  </si>
  <si>
    <t>Income tax payable</t>
  </si>
  <si>
    <t>Total current liabilities</t>
  </si>
  <si>
    <t>Total Equity (b)</t>
  </si>
  <si>
    <t>TOTAL EQUITY AND LIABILITIES (a+b)</t>
  </si>
  <si>
    <t>Gross profit before depreciation</t>
  </si>
  <si>
    <t>Profits before interest, taxes, depreciation and amortization</t>
  </si>
  <si>
    <t>Depreciation and amortization</t>
  </si>
  <si>
    <t>Profits before interest and taxes</t>
  </si>
  <si>
    <t>Tangible assets</t>
  </si>
  <si>
    <t>Long-term receivables</t>
  </si>
  <si>
    <t>Finance income</t>
  </si>
  <si>
    <t>Finance expenses</t>
  </si>
  <si>
    <t>Less: Corporate income tax enpense</t>
  </si>
  <si>
    <t>(Amounts in Euro)</t>
  </si>
  <si>
    <t>Inventories</t>
  </si>
  <si>
    <t xml:space="preserve">Capital </t>
  </si>
  <si>
    <t>09/09/2010-31/12/2011</t>
  </si>
  <si>
    <t>BALANCE SHEET  AS OF  31/12/2012</t>
  </si>
  <si>
    <t>01/01/2012-31/12/2012</t>
  </si>
  <si>
    <t>A.P. SUPPLIES &amp; MEDIA  LTD</t>
  </si>
  <si>
    <t>A.P.  SUPPLIES &amp; MEDIA  LTD</t>
  </si>
  <si>
    <t>INCOME STATEMENT FOR THE PERIOD 01/01/2012-31/12/2012</t>
  </si>
</sst>
</file>

<file path=xl/styles.xml><?xml version="1.0" encoding="utf-8"?>
<styleSheet xmlns="http://schemas.openxmlformats.org/spreadsheetml/2006/main">
  <numFmts count="15">
    <numFmt numFmtId="41" formatCode="_-* #,##0\ _€_-;\-* #,##0\ _€_-;_-* &quot;-&quot;\ _€_-;_-@_-"/>
    <numFmt numFmtId="164" formatCode="_-* #,##0.00\ _Δ_ρ_χ_-;\-* #,##0.00\ _Δ_ρ_χ_-;_-* &quot;-&quot;??\ _Δ_ρ_χ_-;_-@_-"/>
    <numFmt numFmtId="165" formatCode="_ * #,##0_ ;_ * \-#,##0_ ;_ * &quot;-&quot;_ ;_ @_ "/>
    <numFmt numFmtId="166" formatCode="#,##0.00;[Red]\-#,##0.00;\-"/>
    <numFmt numFmtId="167" formatCode="#,##0;[Red]\(#,##0\);\-"/>
    <numFmt numFmtId="168" formatCode=";;;*="/>
    <numFmt numFmtId="169" formatCode="#,##0;[Red]\-#,##0;\-"/>
    <numFmt numFmtId="170" formatCode="#,##0.00;[Red]\(#,##0.00\);\-"/>
    <numFmt numFmtId="171" formatCode=";;;*-"/>
    <numFmt numFmtId="172" formatCode="#,##0_ ;[Red]\-#,##0\ "/>
    <numFmt numFmtId="173" formatCode="_-* #,##0\ _Δ_ρ_χ_-;\-* #,##0\ _Δ_ρ_χ_-;_-* &quot;-&quot;??\ _Δ_ρ_χ_-;_-@_-"/>
    <numFmt numFmtId="174" formatCode="0.0%;[Red]\(\-0.0%\)"/>
    <numFmt numFmtId="175" formatCode="_-* #,##0.00\ [$€]_-;\-* #,##0.00\ [$€]_-;_-* &quot;-&quot;??\ [$€]_-;_-@_-"/>
    <numFmt numFmtId="176" formatCode="0.0000%"/>
    <numFmt numFmtId="177" formatCode="#,##0\ \ \ ;[Black]\-#,##0\ \ \ ;\-\ \ \ "/>
  </numFmts>
  <fonts count="105">
    <font>
      <sz val="10"/>
      <name val="Times New Roman Greek"/>
      <charset val="161"/>
    </font>
    <font>
      <sz val="10"/>
      <name val="Times New Roman Greek"/>
      <charset val="161"/>
    </font>
    <font>
      <sz val="10"/>
      <name val="Times New Roman"/>
      <family val="1"/>
      <charset val="161"/>
    </font>
    <font>
      <sz val="8"/>
      <name val="Times New Roman Greek"/>
      <family val="1"/>
    </font>
    <font>
      <sz val="14"/>
      <name val="Times New Roman"/>
      <family val="1"/>
      <charset val="161"/>
    </font>
    <font>
      <b/>
      <sz val="10"/>
      <name val="Times New Roman"/>
      <family val="1"/>
      <charset val="161"/>
    </font>
    <font>
      <b/>
      <sz val="14"/>
      <name val="Times New Roman"/>
      <family val="1"/>
      <charset val="161"/>
    </font>
    <font>
      <u/>
      <sz val="10"/>
      <color indexed="12"/>
      <name val="Times New Roman Greek"/>
      <charset val="161"/>
    </font>
    <font>
      <sz val="10"/>
      <name val="Arial"/>
      <charset val="161"/>
    </font>
    <font>
      <sz val="9"/>
      <name val="Times New Roman"/>
      <family val="1"/>
      <charset val="161"/>
    </font>
    <font>
      <sz val="10"/>
      <name val="Times New Roman Greek"/>
      <family val="1"/>
    </font>
    <font>
      <b/>
      <sz val="12"/>
      <color indexed="12"/>
      <name val="Times New Roman"/>
      <family val="1"/>
      <charset val="161"/>
    </font>
    <font>
      <b/>
      <sz val="11"/>
      <name val="Times New Roman"/>
      <family val="1"/>
      <charset val="161"/>
    </font>
    <font>
      <b/>
      <sz val="14"/>
      <color indexed="12"/>
      <name val="Times New Roman"/>
      <family val="1"/>
      <charset val="161"/>
    </font>
    <font>
      <b/>
      <sz val="12"/>
      <name val="Times New Roman"/>
      <family val="1"/>
      <charset val="161"/>
    </font>
    <font>
      <i/>
      <sz val="11"/>
      <name val="Times New Roman"/>
      <family val="1"/>
      <charset val="161"/>
    </font>
    <font>
      <b/>
      <i/>
      <sz val="14"/>
      <name val="Times New Roman"/>
      <family val="1"/>
      <charset val="161"/>
    </font>
    <font>
      <sz val="10"/>
      <color indexed="10"/>
      <name val="Times New Roman"/>
      <family val="1"/>
    </font>
    <font>
      <sz val="10"/>
      <name val="Times New Roman"/>
      <family val="1"/>
    </font>
    <font>
      <sz val="11"/>
      <name val="Times New Roman"/>
      <family val="1"/>
    </font>
    <font>
      <b/>
      <sz val="11"/>
      <name val="Times New Roman"/>
      <family val="1"/>
    </font>
    <font>
      <b/>
      <sz val="11"/>
      <name val="Times New Roman Greek"/>
      <family val="1"/>
      <charset val="161"/>
    </font>
    <font>
      <sz val="10"/>
      <name val="Times New Roman Greek"/>
      <family val="1"/>
      <charset val="161"/>
    </font>
    <font>
      <sz val="11"/>
      <name val="Times New Roman Greek"/>
      <family val="1"/>
      <charset val="161"/>
    </font>
    <font>
      <b/>
      <sz val="10"/>
      <name val="Times New Roman"/>
      <family val="1"/>
    </font>
    <font>
      <b/>
      <sz val="10"/>
      <color indexed="10"/>
      <name val="Times New Roman"/>
      <family val="1"/>
    </font>
    <font>
      <b/>
      <u/>
      <sz val="14"/>
      <color indexed="12"/>
      <name val="Times New Roman Greek"/>
      <family val="1"/>
      <charset val="161"/>
    </font>
    <font>
      <b/>
      <i/>
      <sz val="14"/>
      <name val="Times New Roman Greek"/>
      <family val="1"/>
      <charset val="161"/>
    </font>
    <font>
      <b/>
      <i/>
      <sz val="11"/>
      <name val="Times New Roman Greek"/>
      <family val="1"/>
      <charset val="161"/>
    </font>
    <font>
      <b/>
      <sz val="10"/>
      <name val="Times New Roman Greek"/>
      <family val="1"/>
      <charset val="161"/>
    </font>
    <font>
      <i/>
      <sz val="10"/>
      <name val="Times New Roman Greek"/>
      <family val="1"/>
      <charset val="161"/>
    </font>
    <font>
      <b/>
      <i/>
      <sz val="12"/>
      <name val="Times New Roman Greek"/>
      <family val="1"/>
      <charset val="161"/>
    </font>
    <font>
      <b/>
      <i/>
      <sz val="10"/>
      <name val="Times New Roman Greek"/>
      <family val="1"/>
      <charset val="161"/>
    </font>
    <font>
      <b/>
      <sz val="12"/>
      <name val="Times New Roman Greek"/>
      <family val="1"/>
      <charset val="161"/>
    </font>
    <font>
      <sz val="12"/>
      <name val="Times New Roman Greek"/>
      <family val="1"/>
      <charset val="161"/>
    </font>
    <font>
      <b/>
      <sz val="14"/>
      <name val="Times New Roman Greek"/>
      <family val="1"/>
      <charset val="161"/>
    </font>
    <font>
      <sz val="10"/>
      <color indexed="48"/>
      <name val="Times New Roman"/>
      <family val="1"/>
    </font>
    <font>
      <i/>
      <sz val="10"/>
      <name val="Times New Roman"/>
      <family val="1"/>
    </font>
    <font>
      <b/>
      <u/>
      <sz val="10"/>
      <name val="Times New Roman"/>
      <family val="1"/>
    </font>
    <font>
      <b/>
      <sz val="12"/>
      <name val="Times New Roman"/>
      <family val="1"/>
    </font>
    <font>
      <b/>
      <sz val="14"/>
      <name val="Times New Roman"/>
      <family val="1"/>
    </font>
    <font>
      <b/>
      <sz val="16"/>
      <name val="Times New Roman Greek"/>
      <family val="1"/>
      <charset val="161"/>
    </font>
    <font>
      <b/>
      <sz val="16"/>
      <name val="Times New Roman"/>
      <family val="1"/>
    </font>
    <font>
      <b/>
      <i/>
      <sz val="14"/>
      <name val="Times New Roman"/>
      <family val="1"/>
    </font>
    <font>
      <sz val="12"/>
      <name val="Times New Roman"/>
      <family val="1"/>
    </font>
    <font>
      <b/>
      <sz val="9"/>
      <name val="Times New Roman"/>
      <family val="1"/>
    </font>
    <font>
      <sz val="9"/>
      <name val="Times New Roman"/>
      <family val="1"/>
    </font>
    <font>
      <b/>
      <i/>
      <sz val="12"/>
      <name val="Times New Roman"/>
      <family val="1"/>
    </font>
    <font>
      <b/>
      <sz val="10.5"/>
      <name val="Times New Roman"/>
      <family val="1"/>
    </font>
    <font>
      <b/>
      <i/>
      <sz val="11"/>
      <name val="Times New Roman"/>
      <family val="1"/>
    </font>
    <font>
      <i/>
      <sz val="11"/>
      <name val="Times New Roman"/>
      <family val="1"/>
    </font>
    <font>
      <b/>
      <sz val="20"/>
      <name val="Times New Roman"/>
      <family val="1"/>
    </font>
    <font>
      <sz val="12"/>
      <name val="Times New Roman Greek"/>
      <charset val="161"/>
    </font>
    <font>
      <b/>
      <sz val="12"/>
      <name val="Times New Roman Greek"/>
    </font>
    <font>
      <b/>
      <sz val="10"/>
      <name val="Times New Roman Greek"/>
      <charset val="161"/>
    </font>
    <font>
      <b/>
      <sz val="12"/>
      <name val="Times New Roman Greek"/>
      <charset val="161"/>
    </font>
    <font>
      <b/>
      <i/>
      <sz val="16"/>
      <name val="Times New Roman"/>
      <family val="1"/>
    </font>
    <font>
      <sz val="10"/>
      <name val="Times New Roman Greek"/>
    </font>
    <font>
      <sz val="10"/>
      <name val="Arial"/>
    </font>
    <font>
      <sz val="8"/>
      <name val="Arial"/>
    </font>
    <font>
      <b/>
      <u/>
      <sz val="10"/>
      <name val="Times New Roman"/>
      <family val="1"/>
      <charset val="161"/>
    </font>
    <font>
      <b/>
      <i/>
      <sz val="10"/>
      <name val="Times New Roman"/>
      <family val="1"/>
      <charset val="161"/>
    </font>
    <font>
      <b/>
      <sz val="11"/>
      <name val="Times New Roman Greek"/>
      <charset val="161"/>
    </font>
    <font>
      <sz val="9"/>
      <name val="Times New Roman Greek"/>
      <charset val="161"/>
    </font>
    <font>
      <b/>
      <i/>
      <sz val="11"/>
      <name val="Times New Roman Greek"/>
      <charset val="161"/>
    </font>
    <font>
      <b/>
      <i/>
      <sz val="12"/>
      <name val="Times New Roman Greek"/>
      <charset val="161"/>
    </font>
    <font>
      <b/>
      <i/>
      <sz val="12"/>
      <name val="Times New Roman"/>
      <family val="1"/>
      <charset val="161"/>
    </font>
    <font>
      <i/>
      <sz val="9"/>
      <name val="Times New Roman"/>
      <family val="1"/>
    </font>
    <font>
      <sz val="9"/>
      <name val="Times New Roman Greek"/>
      <family val="1"/>
      <charset val="161"/>
    </font>
    <font>
      <sz val="14"/>
      <name val="Times New Roman Greek"/>
      <charset val="161"/>
    </font>
    <font>
      <sz val="14"/>
      <name val="Times New Roman"/>
      <family val="1"/>
    </font>
    <font>
      <sz val="12"/>
      <name val="Times New Roman"/>
      <family val="1"/>
      <charset val="161"/>
    </font>
    <font>
      <b/>
      <sz val="16"/>
      <name val="Times New Roman"/>
      <family val="1"/>
      <charset val="161"/>
    </font>
    <font>
      <b/>
      <sz val="18"/>
      <name val="Times New Roman"/>
      <family val="1"/>
      <charset val="161"/>
    </font>
    <font>
      <b/>
      <sz val="18"/>
      <color indexed="18"/>
      <name val="Times New Roman"/>
      <family val="1"/>
      <charset val="161"/>
    </font>
    <font>
      <b/>
      <sz val="16"/>
      <color indexed="18"/>
      <name val="Times New Roman"/>
      <family val="1"/>
      <charset val="161"/>
    </font>
    <font>
      <b/>
      <i/>
      <sz val="16"/>
      <name val="Times New Roman"/>
      <family val="1"/>
      <charset val="161"/>
    </font>
    <font>
      <b/>
      <i/>
      <sz val="12"/>
      <color indexed="12"/>
      <name val="Times New Roman"/>
      <family val="1"/>
      <charset val="161"/>
    </font>
    <font>
      <b/>
      <i/>
      <sz val="11"/>
      <name val="Times New Roman"/>
      <family val="1"/>
      <charset val="161"/>
    </font>
    <font>
      <i/>
      <sz val="10"/>
      <name val="Times New Roman"/>
      <family val="1"/>
      <charset val="161"/>
    </font>
    <font>
      <b/>
      <i/>
      <sz val="11"/>
      <color indexed="12"/>
      <name val="Times New Roman"/>
      <family val="1"/>
      <charset val="161"/>
    </font>
    <font>
      <sz val="10"/>
      <color indexed="9"/>
      <name val="Times New Roman"/>
      <family val="1"/>
      <charset val="161"/>
    </font>
    <font>
      <b/>
      <sz val="10"/>
      <color indexed="9"/>
      <name val="Times New Roman"/>
      <family val="1"/>
      <charset val="161"/>
    </font>
    <font>
      <b/>
      <u/>
      <sz val="14"/>
      <color indexed="18"/>
      <name val="Times New Roman"/>
      <family val="1"/>
      <charset val="161"/>
    </font>
    <font>
      <sz val="10"/>
      <color indexed="18"/>
      <name val="Times New Roman"/>
      <family val="1"/>
      <charset val="161"/>
    </font>
    <font>
      <b/>
      <u/>
      <sz val="14"/>
      <name val="Times New Roman"/>
      <family val="1"/>
      <charset val="161"/>
    </font>
    <font>
      <b/>
      <sz val="12"/>
      <color indexed="9"/>
      <name val="Times New Roman"/>
      <family val="1"/>
      <charset val="161"/>
    </font>
    <font>
      <b/>
      <sz val="11"/>
      <color indexed="9"/>
      <name val="Times New Roman"/>
      <family val="1"/>
      <charset val="161"/>
    </font>
    <font>
      <b/>
      <sz val="11"/>
      <color indexed="12"/>
      <name val="Times New Roman"/>
      <family val="1"/>
      <charset val="161"/>
    </font>
    <font>
      <sz val="8"/>
      <color indexed="81"/>
      <name val="Tahoma"/>
    </font>
    <font>
      <b/>
      <sz val="8"/>
      <color indexed="81"/>
      <name val="Tahoma"/>
    </font>
    <font>
      <b/>
      <u/>
      <sz val="10"/>
      <color indexed="12"/>
      <name val="Times New Roman Greek"/>
      <family val="1"/>
      <charset val="161"/>
    </font>
    <font>
      <sz val="16"/>
      <name val="Times New Roman"/>
      <family val="1"/>
    </font>
    <font>
      <i/>
      <sz val="12"/>
      <name val="Times New Roman Greek"/>
    </font>
    <font>
      <b/>
      <u/>
      <sz val="14"/>
      <name val="Times New Roman Greek"/>
      <charset val="161"/>
    </font>
    <font>
      <b/>
      <sz val="13"/>
      <name val="Times New Roman Greek"/>
      <charset val="161"/>
    </font>
    <font>
      <b/>
      <i/>
      <sz val="13"/>
      <name val="Times New Roman Greek"/>
      <charset val="161"/>
    </font>
    <font>
      <sz val="13"/>
      <name val="Times New Roman Greek"/>
      <charset val="161"/>
    </font>
    <font>
      <sz val="10"/>
      <name val="Tahoma"/>
      <family val="2"/>
      <charset val="161"/>
    </font>
    <font>
      <b/>
      <sz val="12"/>
      <name val="Tahoma"/>
      <family val="2"/>
      <charset val="161"/>
    </font>
    <font>
      <sz val="12"/>
      <name val="Tahoma"/>
      <family val="2"/>
      <charset val="161"/>
    </font>
    <font>
      <b/>
      <sz val="10"/>
      <name val="Tahoma"/>
      <family val="2"/>
      <charset val="161"/>
    </font>
    <font>
      <sz val="16"/>
      <name val="Times New Roman Greek"/>
      <family val="1"/>
      <charset val="161"/>
    </font>
    <font>
      <b/>
      <u/>
      <sz val="12"/>
      <name val="Times New Roman"/>
      <family val="1"/>
      <charset val="161"/>
    </font>
    <font>
      <sz val="11"/>
      <name val="Times New Roman"/>
      <family val="1"/>
      <charset val="16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top/>
      <bottom style="hair">
        <color indexed="64"/>
      </bottom>
      <diagonal/>
    </border>
    <border>
      <left/>
      <right/>
      <top style="hair">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18">
    <xf numFmtId="0" fontId="0" fillId="0" borderId="0"/>
    <xf numFmtId="164" fontId="1" fillId="0" borderId="0" applyFont="0" applyFill="0" applyBorder="0" applyAlignment="0" applyProtection="0"/>
    <xf numFmtId="167" fontId="2" fillId="0" borderId="0"/>
    <xf numFmtId="168" fontId="3" fillId="0" borderId="0"/>
    <xf numFmtId="175" fontId="10" fillId="0" borderId="0" applyFont="0" applyFill="0" applyBorder="0" applyAlignment="0" applyProtection="0">
      <alignment vertical="top"/>
    </xf>
    <xf numFmtId="0" fontId="4" fillId="0" borderId="0"/>
    <xf numFmtId="0" fontId="5" fillId="0" borderId="0"/>
    <xf numFmtId="0" fontId="6" fillId="0" borderId="0"/>
    <xf numFmtId="0" fontId="7" fillId="0" borderId="0" applyNumberFormat="0" applyFill="0" applyBorder="0" applyAlignment="0" applyProtection="0">
      <alignment vertical="top"/>
      <protection locked="0"/>
    </xf>
    <xf numFmtId="0" fontId="1" fillId="0" borderId="0"/>
    <xf numFmtId="0" fontId="8" fillId="0" borderId="0"/>
    <xf numFmtId="0" fontId="1" fillId="0" borderId="0"/>
    <xf numFmtId="0" fontId="58" fillId="0" borderId="0"/>
    <xf numFmtId="0" fontId="8" fillId="0" borderId="0"/>
    <xf numFmtId="10" fontId="9" fillId="0" borderId="0"/>
    <xf numFmtId="174" fontId="2" fillId="0" borderId="1"/>
    <xf numFmtId="171" fontId="3" fillId="0" borderId="0"/>
    <xf numFmtId="0" fontId="10" fillId="2" borderId="1" applyNumberFormat="0" applyFont="0">
      <alignment horizontal="center" vertical="center" wrapText="1"/>
    </xf>
  </cellStyleXfs>
  <cellXfs count="657">
    <xf numFmtId="0" fontId="0" fillId="0" borderId="0" xfId="0"/>
    <xf numFmtId="0" fontId="22" fillId="3" borderId="0" xfId="0" applyFont="1" applyFill="1" applyAlignment="1" applyProtection="1">
      <alignment vertical="center"/>
      <protection hidden="1"/>
    </xf>
    <xf numFmtId="0" fontId="22" fillId="3" borderId="0" xfId="0" applyFont="1" applyFill="1" applyAlignment="1" applyProtection="1">
      <alignment horizontal="center" vertical="center"/>
      <protection hidden="1"/>
    </xf>
    <xf numFmtId="0" fontId="40" fillId="0" borderId="0" xfId="13" applyFont="1" applyAlignment="1" applyProtection="1">
      <alignment horizontal="left" vertical="center" wrapText="1"/>
      <protection hidden="1"/>
    </xf>
    <xf numFmtId="0" fontId="39" fillId="3" borderId="0" xfId="13" applyFont="1" applyFill="1" applyBorder="1" applyAlignment="1" applyProtection="1">
      <alignment horizontal="center" vertical="center" wrapText="1"/>
      <protection hidden="1"/>
    </xf>
    <xf numFmtId="0" fontId="40" fillId="0" borderId="0" xfId="13" applyFont="1" applyAlignment="1">
      <alignment horizontal="center" vertical="center" wrapText="1"/>
    </xf>
    <xf numFmtId="0" fontId="19" fillId="0" borderId="0" xfId="13" applyFont="1" applyAlignment="1">
      <alignment horizontal="center" vertical="center" wrapText="1"/>
    </xf>
    <xf numFmtId="0" fontId="19" fillId="0" borderId="0" xfId="13" applyFont="1" applyFill="1" applyBorder="1" applyAlignment="1">
      <alignment horizontal="left" vertical="center" wrapText="1"/>
    </xf>
    <xf numFmtId="0" fontId="19" fillId="0" borderId="0" xfId="13" applyFont="1" applyAlignment="1">
      <alignment horizontal="center" vertical="center"/>
    </xf>
    <xf numFmtId="0" fontId="19" fillId="0" borderId="0" xfId="13" applyFont="1" applyFill="1" applyBorder="1" applyAlignment="1">
      <alignment horizontal="center" vertical="center" wrapText="1"/>
    </xf>
    <xf numFmtId="166" fontId="18" fillId="3" borderId="0" xfId="13" applyNumberFormat="1" applyFont="1" applyFill="1" applyBorder="1" applyAlignment="1" applyProtection="1">
      <alignment horizontal="right" vertical="center" wrapText="1"/>
      <protection locked="0"/>
    </xf>
    <xf numFmtId="0" fontId="41" fillId="3" borderId="0" xfId="0" applyFont="1" applyFill="1" applyAlignment="1" applyProtection="1">
      <alignment horizontal="left" vertical="center" wrapText="1"/>
      <protection hidden="1"/>
    </xf>
    <xf numFmtId="0" fontId="28" fillId="3" borderId="0" xfId="0" applyFont="1" applyFill="1" applyAlignment="1" applyProtection="1">
      <alignment horizontal="left" vertical="center" wrapText="1"/>
      <protection hidden="1"/>
    </xf>
    <xf numFmtId="0" fontId="28" fillId="3" borderId="0" xfId="0" applyFont="1" applyFill="1" applyAlignment="1" applyProtection="1">
      <alignment horizontal="center" vertical="center" wrapText="1"/>
      <protection hidden="1"/>
    </xf>
    <xf numFmtId="0" fontId="18" fillId="3" borderId="0" xfId="10" applyFont="1" applyFill="1"/>
    <xf numFmtId="0" fontId="36" fillId="3" borderId="0" xfId="10" applyFont="1" applyFill="1"/>
    <xf numFmtId="0" fontId="24" fillId="3" borderId="0" xfId="10" applyFont="1" applyFill="1"/>
    <xf numFmtId="0" fontId="24" fillId="3" borderId="0" xfId="10" applyFont="1" applyFill="1" applyAlignment="1">
      <alignment horizontal="center"/>
    </xf>
    <xf numFmtId="0" fontId="18" fillId="3" borderId="0" xfId="10" applyFont="1" applyFill="1" applyAlignment="1">
      <alignment horizontal="center"/>
    </xf>
    <xf numFmtId="4" fontId="18" fillId="3" borderId="0" xfId="10" applyNumberFormat="1" applyFont="1" applyFill="1"/>
    <xf numFmtId="4" fontId="25" fillId="3" borderId="0" xfId="10" applyNumberFormat="1" applyFont="1" applyFill="1"/>
    <xf numFmtId="0" fontId="25" fillId="3" borderId="0" xfId="10" applyFont="1" applyFill="1"/>
    <xf numFmtId="0" fontId="37" fillId="3" borderId="0" xfId="10" applyFont="1" applyFill="1"/>
    <xf numFmtId="0" fontId="37" fillId="3" borderId="0" xfId="10" applyFont="1" applyFill="1" applyAlignment="1">
      <alignment horizontal="center"/>
    </xf>
    <xf numFmtId="4" fontId="25" fillId="3" borderId="0" xfId="10" applyNumberFormat="1" applyFont="1" applyFill="1" applyAlignment="1">
      <alignment horizontal="center"/>
    </xf>
    <xf numFmtId="49" fontId="38" fillId="3" borderId="0" xfId="10" applyNumberFormat="1" applyFont="1" applyFill="1" applyAlignment="1">
      <alignment horizontal="center"/>
    </xf>
    <xf numFmtId="4" fontId="37" fillId="3" borderId="0" xfId="10" applyNumberFormat="1" applyFont="1" applyFill="1" applyAlignment="1">
      <alignment horizontal="center"/>
    </xf>
    <xf numFmtId="2" fontId="18" fillId="3" borderId="0" xfId="10" applyNumberFormat="1" applyFont="1" applyFill="1"/>
    <xf numFmtId="4" fontId="18" fillId="3" borderId="2" xfId="10" applyNumberFormat="1" applyFont="1" applyFill="1" applyBorder="1"/>
    <xf numFmtId="4" fontId="17" fillId="3" borderId="0" xfId="10" applyNumberFormat="1" applyFont="1" applyFill="1"/>
    <xf numFmtId="4" fontId="18" fillId="3" borderId="3" xfId="10" applyNumberFormat="1" applyFont="1" applyFill="1" applyBorder="1"/>
    <xf numFmtId="4" fontId="18" fillId="3" borderId="4" xfId="10" applyNumberFormat="1" applyFont="1" applyFill="1" applyBorder="1"/>
    <xf numFmtId="0" fontId="38" fillId="3" borderId="0" xfId="10" applyFont="1" applyFill="1" applyAlignment="1">
      <alignment horizontal="center"/>
    </xf>
    <xf numFmtId="4" fontId="18" fillId="3" borderId="5" xfId="10" applyNumberFormat="1" applyFont="1" applyFill="1" applyBorder="1"/>
    <xf numFmtId="0" fontId="25" fillId="3" borderId="0" xfId="10" applyFont="1" applyFill="1" applyAlignment="1">
      <alignment horizontal="center"/>
    </xf>
    <xf numFmtId="0" fontId="0" fillId="3" borderId="0" xfId="0" applyFill="1" applyProtection="1">
      <protection hidden="1"/>
    </xf>
    <xf numFmtId="0" fontId="26" fillId="3" borderId="0" xfId="8" applyFont="1" applyFill="1" applyAlignment="1" applyProtection="1">
      <alignment horizontal="left" vertical="center"/>
      <protection hidden="1"/>
    </xf>
    <xf numFmtId="166" fontId="22" fillId="3" borderId="0" xfId="0" applyNumberFormat="1" applyFont="1" applyFill="1" applyAlignment="1" applyProtection="1">
      <alignment horizontal="center" vertical="center" wrapText="1"/>
      <protection hidden="1"/>
    </xf>
    <xf numFmtId="0" fontId="22" fillId="3" borderId="0" xfId="0" applyFont="1" applyFill="1" applyAlignment="1" applyProtection="1">
      <alignment vertical="center" wrapText="1"/>
      <protection hidden="1"/>
    </xf>
    <xf numFmtId="166" fontId="22" fillId="3" borderId="0" xfId="0" applyNumberFormat="1" applyFont="1" applyFill="1" applyAlignment="1" applyProtection="1">
      <alignment horizontal="center" vertical="center"/>
      <protection hidden="1"/>
    </xf>
    <xf numFmtId="1" fontId="20" fillId="3" borderId="0" xfId="13" applyNumberFormat="1" applyFont="1" applyFill="1" applyBorder="1" applyAlignment="1" applyProtection="1">
      <alignment horizontal="center" vertical="center" wrapText="1"/>
    </xf>
    <xf numFmtId="0" fontId="42" fillId="3" borderId="0" xfId="13" applyFont="1" applyFill="1" applyBorder="1" applyAlignment="1" applyProtection="1">
      <alignment horizontal="center" vertical="center" wrapText="1"/>
      <protection hidden="1"/>
    </xf>
    <xf numFmtId="0" fontId="31" fillId="3" borderId="0" xfId="0" applyFont="1" applyFill="1" applyAlignment="1" applyProtection="1">
      <alignment vertical="center"/>
      <protection hidden="1"/>
    </xf>
    <xf numFmtId="169" fontId="22" fillId="3" borderId="0" xfId="0" applyNumberFormat="1" applyFont="1" applyFill="1" applyAlignment="1" applyProtection="1">
      <alignment horizontal="center" vertical="center"/>
      <protection hidden="1"/>
    </xf>
    <xf numFmtId="3" fontId="22" fillId="3" borderId="0" xfId="0" applyNumberFormat="1" applyFont="1" applyFill="1" applyAlignment="1" applyProtection="1">
      <alignment horizontal="center" vertical="center"/>
      <protection hidden="1"/>
    </xf>
    <xf numFmtId="0" fontId="41" fillId="3" borderId="0" xfId="0" applyFont="1" applyFill="1" applyAlignment="1" applyProtection="1">
      <alignment horizontal="center" vertical="center" wrapText="1"/>
      <protection hidden="1"/>
    </xf>
    <xf numFmtId="166" fontId="33" fillId="3" borderId="0" xfId="0" applyNumberFormat="1" applyFont="1" applyFill="1" applyAlignment="1" applyProtection="1">
      <alignment horizontal="center" vertical="center"/>
      <protection hidden="1"/>
    </xf>
    <xf numFmtId="0" fontId="33" fillId="3" borderId="0" xfId="0" applyFont="1" applyFill="1" applyAlignment="1" applyProtection="1">
      <alignment vertical="center"/>
      <protection hidden="1"/>
    </xf>
    <xf numFmtId="166" fontId="29" fillId="3" borderId="0" xfId="0" applyNumberFormat="1" applyFont="1" applyFill="1" applyAlignment="1" applyProtection="1">
      <alignment horizontal="center" vertical="center"/>
      <protection hidden="1"/>
    </xf>
    <xf numFmtId="0" fontId="29" fillId="3" borderId="0" xfId="0" applyFont="1" applyFill="1" applyAlignment="1" applyProtection="1">
      <alignment vertical="center"/>
      <protection hidden="1"/>
    </xf>
    <xf numFmtId="166" fontId="21" fillId="3" borderId="0" xfId="0" applyNumberFormat="1" applyFont="1" applyFill="1" applyAlignment="1" applyProtection="1">
      <alignment horizontal="center" vertical="center"/>
      <protection hidden="1"/>
    </xf>
    <xf numFmtId="0" fontId="21" fillId="3" borderId="0" xfId="0" applyFont="1" applyFill="1" applyAlignment="1" applyProtection="1">
      <alignment vertical="center"/>
      <protection hidden="1"/>
    </xf>
    <xf numFmtId="0" fontId="0" fillId="3" borderId="0" xfId="0" applyFill="1"/>
    <xf numFmtId="0" fontId="33" fillId="3" borderId="0" xfId="0" applyFont="1" applyFill="1"/>
    <xf numFmtId="170" fontId="39" fillId="3" borderId="0" xfId="13" applyNumberFormat="1" applyFont="1" applyFill="1" applyBorder="1" applyAlignment="1" applyProtection="1">
      <alignment horizontal="center" vertical="center" wrapText="1"/>
      <protection hidden="1"/>
    </xf>
    <xf numFmtId="170" fontId="46" fillId="3" borderId="6" xfId="0" applyNumberFormat="1" applyFont="1" applyFill="1" applyBorder="1" applyAlignment="1">
      <alignment horizontal="right"/>
    </xf>
    <xf numFmtId="0" fontId="39" fillId="3" borderId="0" xfId="13" applyFont="1" applyFill="1" applyBorder="1" applyAlignment="1" applyProtection="1">
      <alignment horizontal="right" vertical="center" wrapText="1"/>
      <protection hidden="1"/>
    </xf>
    <xf numFmtId="166" fontId="20" fillId="3" borderId="0" xfId="13" applyNumberFormat="1" applyFont="1" applyFill="1" applyBorder="1" applyAlignment="1" applyProtection="1">
      <alignment horizontal="left" vertical="center"/>
    </xf>
    <xf numFmtId="166" fontId="18" fillId="3" borderId="0" xfId="13" applyNumberFormat="1" applyFont="1" applyFill="1" applyAlignment="1" applyProtection="1">
      <alignment horizontal="center" vertical="center"/>
    </xf>
    <xf numFmtId="166" fontId="18" fillId="3" borderId="0" xfId="13" applyNumberFormat="1" applyFont="1" applyFill="1" applyAlignment="1" applyProtection="1">
      <alignment horizontal="left" vertical="center"/>
    </xf>
    <xf numFmtId="166" fontId="18" fillId="3" borderId="0" xfId="13" applyNumberFormat="1" applyFont="1" applyFill="1" applyBorder="1" applyAlignment="1" applyProtection="1">
      <alignment horizontal="center" vertical="center"/>
    </xf>
    <xf numFmtId="166" fontId="18" fillId="3" borderId="0" xfId="13" applyNumberFormat="1" applyFont="1" applyFill="1" applyBorder="1" applyAlignment="1" applyProtection="1">
      <alignment horizontal="left" vertical="center"/>
    </xf>
    <xf numFmtId="166" fontId="24" fillId="3" borderId="0" xfId="13" applyNumberFormat="1" applyFont="1" applyFill="1" applyBorder="1" applyAlignment="1" applyProtection="1">
      <alignment horizontal="left" vertical="center"/>
    </xf>
    <xf numFmtId="166" fontId="40" fillId="3" borderId="0" xfId="13" applyNumberFormat="1" applyFont="1" applyFill="1" applyAlignment="1" applyProtection="1">
      <alignment horizontal="left" vertical="center"/>
    </xf>
    <xf numFmtId="166" fontId="43" fillId="3" borderId="0" xfId="13" applyNumberFormat="1" applyFont="1" applyFill="1" applyAlignment="1" applyProtection="1">
      <alignment horizontal="left" vertical="center"/>
    </xf>
    <xf numFmtId="166" fontId="20" fillId="3" borderId="0" xfId="13" applyNumberFormat="1" applyFont="1" applyFill="1" applyBorder="1" applyAlignment="1" applyProtection="1">
      <alignment horizontal="center" vertical="center" wrapText="1"/>
    </xf>
    <xf numFmtId="166" fontId="39" fillId="3" borderId="0" xfId="13" applyNumberFormat="1" applyFont="1" applyFill="1" applyBorder="1" applyAlignment="1" applyProtection="1">
      <alignment horizontal="left" vertical="center" wrapText="1"/>
    </xf>
    <xf numFmtId="166" fontId="19" fillId="3" borderId="0" xfId="13" applyNumberFormat="1" applyFont="1" applyFill="1" applyBorder="1" applyAlignment="1" applyProtection="1">
      <alignment horizontal="center" vertical="center"/>
    </xf>
    <xf numFmtId="0" fontId="18" fillId="3" borderId="0" xfId="13" applyFont="1" applyFill="1" applyBorder="1" applyAlignment="1" applyProtection="1">
      <alignment horizontal="left" vertical="center"/>
    </xf>
    <xf numFmtId="166" fontId="48" fillId="3" borderId="0" xfId="13" applyNumberFormat="1" applyFont="1" applyFill="1" applyBorder="1" applyAlignment="1" applyProtection="1">
      <alignment vertical="center" textRotation="90"/>
    </xf>
    <xf numFmtId="170" fontId="45" fillId="3" borderId="0" xfId="13" applyNumberFormat="1" applyFont="1" applyFill="1" applyBorder="1" applyAlignment="1" applyProtection="1">
      <alignment horizontal="right" vertical="center"/>
    </xf>
    <xf numFmtId="166" fontId="18" fillId="3" borderId="0" xfId="13" applyNumberFormat="1" applyFont="1" applyFill="1" applyBorder="1" applyAlignment="1" applyProtection="1">
      <alignment horizontal="center" vertical="center" wrapText="1"/>
    </xf>
    <xf numFmtId="166" fontId="20" fillId="3" borderId="0" xfId="13" applyNumberFormat="1" applyFont="1" applyFill="1" applyBorder="1" applyAlignment="1" applyProtection="1">
      <alignment horizontal="center" vertical="center"/>
    </xf>
    <xf numFmtId="166" fontId="20" fillId="3" borderId="0" xfId="13" applyNumberFormat="1" applyFont="1" applyFill="1" applyBorder="1" applyAlignment="1" applyProtection="1">
      <alignment horizontal="right" vertical="center"/>
    </xf>
    <xf numFmtId="166" fontId="20" fillId="3" borderId="0" xfId="13" applyNumberFormat="1" applyFont="1" applyFill="1" applyBorder="1" applyAlignment="1" applyProtection="1">
      <alignment vertical="center" textRotation="90" wrapText="1"/>
    </xf>
    <xf numFmtId="166" fontId="44" fillId="3" borderId="0" xfId="13" applyNumberFormat="1" applyFont="1" applyFill="1" applyBorder="1" applyAlignment="1" applyProtection="1">
      <alignment horizontal="center" vertical="center"/>
    </xf>
    <xf numFmtId="166" fontId="43" fillId="3" borderId="0" xfId="13" applyNumberFormat="1" applyFont="1" applyFill="1" applyBorder="1" applyAlignment="1" applyProtection="1">
      <alignment horizontal="center" vertical="center"/>
    </xf>
    <xf numFmtId="166" fontId="19" fillId="3" borderId="0" xfId="13" applyNumberFormat="1" applyFont="1" applyFill="1" applyBorder="1" applyAlignment="1" applyProtection="1">
      <alignment horizontal="right" vertical="center"/>
    </xf>
    <xf numFmtId="166" fontId="39" fillId="3" borderId="0" xfId="13" applyNumberFormat="1" applyFont="1" applyFill="1" applyBorder="1" applyAlignment="1" applyProtection="1">
      <alignment horizontal="left" vertical="center"/>
    </xf>
    <xf numFmtId="166" fontId="39" fillId="3" borderId="0" xfId="13" applyNumberFormat="1" applyFont="1" applyFill="1" applyBorder="1" applyAlignment="1" applyProtection="1"/>
    <xf numFmtId="166" fontId="39" fillId="3" borderId="0" xfId="13" applyNumberFormat="1" applyFont="1" applyFill="1" applyBorder="1" applyAlignment="1" applyProtection="1">
      <alignment wrapText="1"/>
    </xf>
    <xf numFmtId="166" fontId="39" fillId="3" borderId="0" xfId="13" applyNumberFormat="1" applyFont="1" applyFill="1" applyBorder="1" applyAlignment="1" applyProtection="1">
      <alignment horizontal="center" vertical="center" wrapText="1"/>
    </xf>
    <xf numFmtId="166" fontId="39" fillId="3" borderId="0" xfId="13" applyNumberFormat="1" applyFont="1" applyFill="1" applyBorder="1" applyAlignment="1" applyProtection="1">
      <alignment horizontal="center"/>
    </xf>
    <xf numFmtId="166" fontId="39" fillId="3" borderId="0" xfId="13" applyNumberFormat="1" applyFont="1" applyFill="1" applyBorder="1" applyAlignment="1" applyProtection="1">
      <alignment horizontal="center" wrapText="1"/>
    </xf>
    <xf numFmtId="166" fontId="44" fillId="3" borderId="0" xfId="13" applyNumberFormat="1" applyFont="1" applyFill="1" applyBorder="1" applyAlignment="1" applyProtection="1">
      <alignment horizontal="center"/>
    </xf>
    <xf numFmtId="166" fontId="39" fillId="3" borderId="0" xfId="13" applyNumberFormat="1" applyFont="1" applyFill="1" applyBorder="1" applyAlignment="1" applyProtection="1">
      <alignment vertical="center" wrapText="1"/>
    </xf>
    <xf numFmtId="166" fontId="39" fillId="3" borderId="0" xfId="13" applyNumberFormat="1" applyFont="1" applyFill="1" applyBorder="1" applyAlignment="1" applyProtection="1">
      <alignment vertical="center" textRotation="90"/>
    </xf>
    <xf numFmtId="170" fontId="44" fillId="3" borderId="0" xfId="13" applyNumberFormat="1" applyFont="1" applyFill="1" applyBorder="1" applyAlignment="1" applyProtection="1">
      <alignment horizontal="right" vertical="center"/>
      <protection locked="0"/>
    </xf>
    <xf numFmtId="170" fontId="44" fillId="3" borderId="0" xfId="13" applyNumberFormat="1" applyFont="1" applyFill="1" applyBorder="1" applyAlignment="1" applyProtection="1">
      <alignment horizontal="right" vertical="center"/>
    </xf>
    <xf numFmtId="166" fontId="44" fillId="3" borderId="0" xfId="13" applyNumberFormat="1" applyFont="1" applyFill="1" applyBorder="1" applyAlignment="1" applyProtection="1">
      <alignment horizontal="left" vertical="center"/>
    </xf>
    <xf numFmtId="170" fontId="44" fillId="3" borderId="7" xfId="13" applyNumberFormat="1" applyFont="1" applyFill="1" applyBorder="1" applyAlignment="1" applyProtection="1">
      <alignment horizontal="right" vertical="center"/>
      <protection locked="0"/>
    </xf>
    <xf numFmtId="170" fontId="44" fillId="3" borderId="7" xfId="13" applyNumberFormat="1" applyFont="1" applyFill="1" applyBorder="1" applyAlignment="1" applyProtection="1">
      <alignment horizontal="right" vertical="center"/>
    </xf>
    <xf numFmtId="170" fontId="44" fillId="3" borderId="8" xfId="13" applyNumberFormat="1" applyFont="1" applyFill="1" applyBorder="1" applyAlignment="1" applyProtection="1">
      <alignment horizontal="right" vertical="center"/>
    </xf>
    <xf numFmtId="170" fontId="39" fillId="3" borderId="0" xfId="13" applyNumberFormat="1" applyFont="1" applyFill="1" applyBorder="1" applyAlignment="1" applyProtection="1">
      <alignment horizontal="right" vertical="center"/>
    </xf>
    <xf numFmtId="166" fontId="44" fillId="3" borderId="0" xfId="13" applyNumberFormat="1" applyFont="1" applyFill="1" applyBorder="1" applyAlignment="1" applyProtection="1">
      <alignment horizontal="center" wrapText="1"/>
    </xf>
    <xf numFmtId="166" fontId="44" fillId="3" borderId="0" xfId="13" applyNumberFormat="1" applyFont="1" applyFill="1" applyBorder="1" applyAlignment="1" applyProtection="1">
      <alignment horizontal="center" vertical="center" wrapText="1"/>
    </xf>
    <xf numFmtId="170" fontId="39" fillId="3" borderId="8" xfId="13" applyNumberFormat="1" applyFont="1" applyFill="1" applyBorder="1" applyAlignment="1" applyProtection="1">
      <alignment horizontal="right" vertical="center"/>
    </xf>
    <xf numFmtId="166" fontId="39" fillId="3" borderId="0" xfId="13" applyNumberFormat="1" applyFont="1" applyFill="1" applyBorder="1" applyAlignment="1" applyProtection="1">
      <alignment horizontal="center" vertical="center"/>
    </xf>
    <xf numFmtId="166" fontId="39" fillId="3" borderId="0" xfId="13" applyNumberFormat="1" applyFont="1" applyFill="1" applyBorder="1" applyAlignment="1" applyProtection="1">
      <alignment horizontal="right" vertical="center"/>
    </xf>
    <xf numFmtId="166" fontId="44" fillId="3" borderId="0" xfId="13" applyNumberFormat="1" applyFont="1" applyFill="1" applyBorder="1" applyAlignment="1" applyProtection="1">
      <alignment horizontal="right" vertical="center"/>
    </xf>
    <xf numFmtId="166" fontId="39" fillId="3" borderId="0" xfId="13" applyNumberFormat="1" applyFont="1" applyFill="1" applyBorder="1" applyAlignment="1" applyProtection="1">
      <alignment vertical="center" textRotation="90" wrapText="1"/>
    </xf>
    <xf numFmtId="170" fontId="44" fillId="3" borderId="8" xfId="13" applyNumberFormat="1" applyFont="1" applyFill="1" applyBorder="1" applyAlignment="1" applyProtection="1">
      <alignment horizontal="right" vertical="center"/>
      <protection locked="0"/>
    </xf>
    <xf numFmtId="170" fontId="39" fillId="3" borderId="0" xfId="13" applyNumberFormat="1" applyFont="1" applyFill="1" applyBorder="1" applyAlignment="1" applyProtection="1">
      <alignment horizontal="right" vertical="center"/>
      <protection locked="0"/>
    </xf>
    <xf numFmtId="166" fontId="44" fillId="3" borderId="0" xfId="13" applyNumberFormat="1" applyFont="1" applyFill="1" applyBorder="1" applyAlignment="1" applyProtection="1">
      <alignment horizontal="right" vertical="center"/>
      <protection locked="0"/>
    </xf>
    <xf numFmtId="166" fontId="44" fillId="3" borderId="0" xfId="13" applyNumberFormat="1" applyFont="1" applyFill="1" applyBorder="1" applyAlignment="1" applyProtection="1">
      <alignment horizontal="left" vertical="center" wrapText="1"/>
    </xf>
    <xf numFmtId="166" fontId="39" fillId="3" borderId="0" xfId="13" applyNumberFormat="1" applyFont="1" applyFill="1" applyBorder="1" applyAlignment="1" applyProtection="1">
      <alignment horizontal="left" vertical="center"/>
      <protection locked="0"/>
    </xf>
    <xf numFmtId="0" fontId="18" fillId="3" borderId="0" xfId="13" applyFont="1" applyFill="1" applyBorder="1" applyAlignment="1" applyProtection="1">
      <alignment horizontal="center" vertical="center"/>
    </xf>
    <xf numFmtId="14" fontId="20" fillId="3" borderId="0" xfId="13" applyNumberFormat="1" applyFont="1" applyFill="1" applyBorder="1" applyAlignment="1" applyProtection="1">
      <alignment horizontal="center" vertical="center"/>
    </xf>
    <xf numFmtId="0" fontId="40" fillId="3" borderId="0" xfId="13" applyFont="1" applyFill="1" applyBorder="1" applyAlignment="1" applyProtection="1">
      <alignment horizontal="center" vertical="center"/>
    </xf>
    <xf numFmtId="0" fontId="40" fillId="3" borderId="0" xfId="13" applyFont="1" applyFill="1" applyBorder="1" applyAlignment="1" applyProtection="1">
      <alignment vertical="center"/>
    </xf>
    <xf numFmtId="0" fontId="43" fillId="3" borderId="0" xfId="13" applyFont="1" applyFill="1" applyBorder="1" applyAlignment="1" applyProtection="1">
      <alignment vertical="center"/>
    </xf>
    <xf numFmtId="0" fontId="50" fillId="3" borderId="0" xfId="13" applyFont="1" applyFill="1" applyBorder="1" applyAlignment="1" applyProtection="1">
      <alignment horizontal="left" vertical="center"/>
    </xf>
    <xf numFmtId="3" fontId="20" fillId="3" borderId="0" xfId="13" applyNumberFormat="1" applyFont="1" applyFill="1" applyBorder="1" applyAlignment="1" applyProtection="1">
      <alignment horizontal="center" vertical="center"/>
    </xf>
    <xf numFmtId="166" fontId="18" fillId="3" borderId="0" xfId="13" applyNumberFormat="1" applyFont="1" applyFill="1" applyBorder="1" applyAlignment="1" applyProtection="1">
      <alignment horizontal="right" vertical="center"/>
      <protection locked="0"/>
    </xf>
    <xf numFmtId="0" fontId="19" fillId="3" borderId="0" xfId="13" applyFont="1" applyFill="1" applyBorder="1" applyAlignment="1" applyProtection="1">
      <alignment horizontal="center" vertical="center"/>
    </xf>
    <xf numFmtId="14" fontId="20" fillId="3" borderId="0" xfId="13" applyNumberFormat="1" applyFont="1" applyFill="1" applyBorder="1" applyAlignment="1" applyProtection="1">
      <alignment horizontal="center" vertical="center" wrapText="1"/>
    </xf>
    <xf numFmtId="3" fontId="24" fillId="3" borderId="0" xfId="13" applyNumberFormat="1" applyFont="1" applyFill="1" applyBorder="1" applyAlignment="1" applyProtection="1">
      <alignment horizontal="center" vertical="center"/>
    </xf>
    <xf numFmtId="166" fontId="45" fillId="3" borderId="0" xfId="13" applyNumberFormat="1" applyFont="1" applyFill="1" applyBorder="1" applyAlignment="1" applyProtection="1">
      <alignment horizontal="right" vertical="center"/>
    </xf>
    <xf numFmtId="172" fontId="20" fillId="3" borderId="0" xfId="13" applyNumberFormat="1" applyFont="1" applyFill="1" applyBorder="1" applyAlignment="1" applyProtection="1">
      <alignment horizontal="center" vertical="center"/>
    </xf>
    <xf numFmtId="0" fontId="40" fillId="3" borderId="0" xfId="13" applyFont="1" applyFill="1" applyBorder="1" applyAlignment="1" applyProtection="1">
      <alignment horizontal="left" vertical="center"/>
    </xf>
    <xf numFmtId="166" fontId="24" fillId="3" borderId="0" xfId="13" applyNumberFormat="1" applyFont="1" applyFill="1" applyBorder="1" applyAlignment="1" applyProtection="1">
      <alignment horizontal="center" vertical="center"/>
    </xf>
    <xf numFmtId="1" fontId="40" fillId="3" borderId="0" xfId="13" applyNumberFormat="1" applyFont="1" applyFill="1" applyAlignment="1" applyProtection="1">
      <alignment horizontal="center" vertical="center"/>
    </xf>
    <xf numFmtId="166" fontId="40" fillId="3" borderId="0" xfId="13" applyNumberFormat="1" applyFont="1" applyFill="1" applyAlignment="1" applyProtection="1">
      <alignment vertical="center"/>
    </xf>
    <xf numFmtId="166" fontId="20" fillId="3" borderId="0" xfId="13" applyNumberFormat="1" applyFont="1" applyFill="1" applyAlignment="1" applyProtection="1">
      <alignment horizontal="center" vertical="center"/>
    </xf>
    <xf numFmtId="166" fontId="19" fillId="3" borderId="0" xfId="13" applyNumberFormat="1" applyFont="1" applyFill="1" applyAlignment="1" applyProtection="1">
      <alignment horizontal="center" vertical="center"/>
    </xf>
    <xf numFmtId="166" fontId="19" fillId="3" borderId="0" xfId="13" applyNumberFormat="1" applyFont="1" applyFill="1" applyBorder="1" applyAlignment="1" applyProtection="1">
      <alignment horizontal="center" vertical="center" wrapText="1"/>
    </xf>
    <xf numFmtId="166" fontId="46" fillId="3" borderId="6" xfId="13" applyNumberFormat="1" applyFont="1" applyFill="1" applyBorder="1" applyAlignment="1" applyProtection="1">
      <alignment horizontal="right" vertical="center"/>
    </xf>
    <xf numFmtId="172" fontId="19" fillId="3" borderId="0" xfId="13" applyNumberFormat="1" applyFont="1" applyFill="1" applyBorder="1" applyAlignment="1" applyProtection="1">
      <alignment horizontal="left" vertical="center"/>
    </xf>
    <xf numFmtId="3" fontId="40" fillId="3" borderId="0" xfId="13" applyNumberFormat="1" applyFont="1" applyFill="1" applyBorder="1" applyAlignment="1" applyProtection="1">
      <alignment horizontal="left" vertical="center"/>
    </xf>
    <xf numFmtId="0" fontId="19" fillId="3" borderId="0" xfId="13" applyFont="1" applyFill="1" applyBorder="1" applyAlignment="1" applyProtection="1">
      <alignment horizontal="left" vertical="center"/>
    </xf>
    <xf numFmtId="172" fontId="18" fillId="3" borderId="0" xfId="13" applyNumberFormat="1" applyFont="1" applyFill="1" applyBorder="1" applyAlignment="1" applyProtection="1">
      <alignment horizontal="left" vertical="center"/>
    </xf>
    <xf numFmtId="172" fontId="20" fillId="3" borderId="0" xfId="13" applyNumberFormat="1" applyFont="1" applyFill="1" applyBorder="1" applyAlignment="1" applyProtection="1">
      <alignment horizontal="left" vertical="center"/>
    </xf>
    <xf numFmtId="0" fontId="39" fillId="3" borderId="0" xfId="13" applyFont="1" applyFill="1" applyBorder="1" applyAlignment="1" applyProtection="1">
      <alignment horizontal="left"/>
    </xf>
    <xf numFmtId="0" fontId="20" fillId="3" borderId="0" xfId="13" applyFont="1" applyFill="1" applyBorder="1" applyAlignment="1" applyProtection="1">
      <alignment horizontal="left" vertical="center"/>
    </xf>
    <xf numFmtId="166" fontId="20" fillId="3" borderId="0" xfId="13" applyNumberFormat="1" applyFont="1" applyFill="1" applyBorder="1" applyAlignment="1" applyProtection="1">
      <alignment horizontal="right" vertical="center"/>
      <protection locked="0"/>
    </xf>
    <xf numFmtId="170" fontId="45" fillId="3" borderId="9" xfId="13" applyNumberFormat="1" applyFont="1" applyFill="1" applyBorder="1" applyAlignment="1" applyProtection="1">
      <alignment horizontal="right" vertical="center"/>
    </xf>
    <xf numFmtId="170" fontId="45" fillId="3" borderId="6" xfId="13" applyNumberFormat="1" applyFont="1" applyFill="1" applyBorder="1" applyAlignment="1" applyProtection="1">
      <alignment horizontal="right" vertical="center"/>
    </xf>
    <xf numFmtId="0" fontId="19" fillId="3" borderId="0" xfId="13" applyFont="1" applyFill="1" applyBorder="1" applyAlignment="1" applyProtection="1">
      <alignment vertical="center"/>
    </xf>
    <xf numFmtId="170" fontId="18" fillId="3" borderId="0" xfId="13" applyNumberFormat="1" applyFont="1" applyFill="1" applyAlignment="1" applyProtection="1">
      <alignment horizontal="right" vertical="center"/>
    </xf>
    <xf numFmtId="0" fontId="39" fillId="3" borderId="0" xfId="13" applyFont="1" applyFill="1" applyBorder="1" applyAlignment="1" applyProtection="1">
      <alignment vertical="center"/>
    </xf>
    <xf numFmtId="170" fontId="18" fillId="3" borderId="0" xfId="13" applyNumberFormat="1" applyFont="1" applyFill="1" applyBorder="1" applyAlignment="1" applyProtection="1">
      <alignment horizontal="center" vertical="center"/>
    </xf>
    <xf numFmtId="0" fontId="20" fillId="3" borderId="0" xfId="13" applyFont="1" applyFill="1" applyBorder="1" applyAlignment="1" applyProtection="1">
      <alignment horizontal="center" vertical="center"/>
    </xf>
    <xf numFmtId="0" fontId="19" fillId="3" borderId="0" xfId="13" applyFont="1" applyFill="1" applyAlignment="1" applyProtection="1">
      <alignment horizontal="center" vertical="center"/>
    </xf>
    <xf numFmtId="3" fontId="20" fillId="3" borderId="0" xfId="13" applyNumberFormat="1" applyFont="1" applyFill="1" applyAlignment="1" applyProtection="1">
      <alignment horizontal="center" vertical="center"/>
    </xf>
    <xf numFmtId="3" fontId="24" fillId="3" borderId="0" xfId="13" applyNumberFormat="1" applyFont="1" applyFill="1" applyAlignment="1" applyProtection="1">
      <alignment horizontal="center" vertical="center"/>
    </xf>
    <xf numFmtId="10" fontId="18" fillId="3" borderId="0" xfId="13" applyNumberFormat="1" applyFont="1" applyFill="1" applyBorder="1" applyAlignment="1" applyProtection="1">
      <alignment horizontal="right" vertical="center"/>
      <protection locked="0"/>
    </xf>
    <xf numFmtId="0" fontId="19" fillId="3" borderId="0" xfId="13" applyFont="1" applyFill="1" applyBorder="1" applyAlignment="1" applyProtection="1">
      <alignment horizontal="right" vertical="center"/>
    </xf>
    <xf numFmtId="14" fontId="20" fillId="3" borderId="0" xfId="13" applyNumberFormat="1" applyFont="1" applyFill="1" applyBorder="1" applyAlignment="1" applyProtection="1">
      <alignment horizontal="right" vertical="center"/>
    </xf>
    <xf numFmtId="0" fontId="19" fillId="3" borderId="0" xfId="13" applyFont="1" applyFill="1" applyAlignment="1" applyProtection="1">
      <alignment horizontal="right" vertical="center"/>
    </xf>
    <xf numFmtId="0" fontId="20" fillId="3" borderId="0" xfId="13" applyFont="1" applyFill="1" applyBorder="1" applyAlignment="1" applyProtection="1">
      <alignment horizontal="center" vertical="center" wrapText="1"/>
    </xf>
    <xf numFmtId="0" fontId="20" fillId="3" borderId="0" xfId="13" applyFont="1" applyFill="1" applyBorder="1" applyAlignment="1" applyProtection="1">
      <alignment horizontal="center" wrapText="1"/>
    </xf>
    <xf numFmtId="0" fontId="40" fillId="3" borderId="0" xfId="13" applyFont="1" applyFill="1" applyBorder="1" applyAlignment="1" applyProtection="1">
      <alignment horizontal="center"/>
    </xf>
    <xf numFmtId="0" fontId="6" fillId="3" borderId="0" xfId="13" applyFont="1" applyFill="1" applyBorder="1" applyAlignment="1" applyProtection="1">
      <alignment horizontal="left"/>
    </xf>
    <xf numFmtId="0" fontId="46" fillId="3" borderId="0" xfId="0" applyFont="1" applyFill="1"/>
    <xf numFmtId="166" fontId="19" fillId="3" borderId="0" xfId="13" applyNumberFormat="1" applyFont="1" applyFill="1" applyBorder="1" applyAlignment="1" applyProtection="1">
      <alignment horizontal="right" vertical="center"/>
      <protection locked="0"/>
    </xf>
    <xf numFmtId="0" fontId="19" fillId="3" borderId="0" xfId="13" applyFont="1" applyFill="1" applyAlignment="1" applyProtection="1">
      <alignment vertical="center"/>
    </xf>
    <xf numFmtId="0" fontId="23" fillId="3" borderId="0" xfId="0" applyFont="1" applyFill="1"/>
    <xf numFmtId="4" fontId="0" fillId="3" borderId="0" xfId="0" applyNumberFormat="1" applyFill="1" applyAlignment="1">
      <alignment horizontal="right"/>
    </xf>
    <xf numFmtId="4" fontId="0" fillId="3" borderId="9" xfId="0" applyNumberFormat="1" applyFill="1" applyBorder="1" applyAlignment="1">
      <alignment horizontal="right"/>
    </xf>
    <xf numFmtId="0" fontId="20" fillId="3" borderId="0" xfId="13" applyNumberFormat="1" applyFont="1" applyFill="1" applyBorder="1" applyAlignment="1" applyProtection="1">
      <alignment vertical="center" wrapText="1"/>
    </xf>
    <xf numFmtId="0" fontId="49" fillId="3" borderId="0" xfId="13" applyFont="1" applyFill="1" applyBorder="1" applyAlignment="1" applyProtection="1">
      <alignment vertical="center"/>
    </xf>
    <xf numFmtId="170" fontId="20" fillId="3" borderId="0" xfId="13" applyNumberFormat="1" applyFont="1" applyFill="1" applyBorder="1" applyAlignment="1" applyProtection="1">
      <alignment horizontal="right" vertical="center"/>
    </xf>
    <xf numFmtId="170" fontId="19" fillId="3" borderId="0" xfId="13" applyNumberFormat="1" applyFont="1" applyFill="1" applyBorder="1" applyAlignment="1" applyProtection="1">
      <alignment vertical="center"/>
    </xf>
    <xf numFmtId="0" fontId="51" fillId="3" borderId="0" xfId="13" applyFont="1" applyFill="1" applyBorder="1" applyAlignment="1" applyProtection="1">
      <alignment vertical="center"/>
    </xf>
    <xf numFmtId="0" fontId="39" fillId="3" borderId="0" xfId="13" applyFont="1" applyFill="1" applyBorder="1" applyAlignment="1" applyProtection="1">
      <alignment horizontal="center"/>
    </xf>
    <xf numFmtId="4" fontId="0" fillId="3" borderId="9" xfId="0" applyNumberFormat="1" applyFill="1" applyBorder="1"/>
    <xf numFmtId="4" fontId="0" fillId="3" borderId="0" xfId="0" applyNumberFormat="1" applyFill="1" applyBorder="1"/>
    <xf numFmtId="3" fontId="0" fillId="3" borderId="0" xfId="0" applyNumberFormat="1" applyFill="1"/>
    <xf numFmtId="170" fontId="18" fillId="3" borderId="0" xfId="10" applyNumberFormat="1" applyFont="1" applyFill="1"/>
    <xf numFmtId="170" fontId="18" fillId="3" borderId="6" xfId="10" applyNumberFormat="1" applyFont="1" applyFill="1" applyBorder="1"/>
    <xf numFmtId="170" fontId="18" fillId="3" borderId="0" xfId="10" applyNumberFormat="1" applyFont="1" applyFill="1" applyBorder="1"/>
    <xf numFmtId="170" fontId="24" fillId="3" borderId="10" xfId="10" applyNumberFormat="1" applyFont="1" applyFill="1" applyBorder="1"/>
    <xf numFmtId="0" fontId="40" fillId="0" borderId="0" xfId="13" applyFont="1" applyAlignment="1" applyProtection="1">
      <alignment horizontal="center" vertical="center" wrapText="1"/>
      <protection hidden="1"/>
    </xf>
    <xf numFmtId="0" fontId="39" fillId="0" borderId="0" xfId="13" applyFont="1" applyFill="1" applyBorder="1" applyAlignment="1" applyProtection="1">
      <alignment horizontal="right" vertical="center" wrapText="1"/>
      <protection hidden="1"/>
    </xf>
    <xf numFmtId="4" fontId="20" fillId="0" borderId="0" xfId="13" applyNumberFormat="1" applyFont="1" applyFill="1" applyBorder="1" applyAlignment="1">
      <alignment horizontal="right" vertical="center" wrapText="1"/>
    </xf>
    <xf numFmtId="0" fontId="19" fillId="0" borderId="0" xfId="13" applyFont="1" applyAlignment="1">
      <alignment horizontal="right" vertical="center" wrapText="1"/>
    </xf>
    <xf numFmtId="166" fontId="46" fillId="3" borderId="0" xfId="13" applyNumberFormat="1" applyFont="1" applyFill="1" applyBorder="1" applyAlignment="1" applyProtection="1">
      <alignment horizontal="right" vertical="center"/>
    </xf>
    <xf numFmtId="170" fontId="46" fillId="3" borderId="6" xfId="13" applyNumberFormat="1" applyFont="1" applyFill="1" applyBorder="1" applyAlignment="1" applyProtection="1">
      <alignment horizontal="right" vertical="center"/>
    </xf>
    <xf numFmtId="170" fontId="45" fillId="3" borderId="11" xfId="13" applyNumberFormat="1" applyFont="1" applyFill="1" applyBorder="1" applyAlignment="1" applyProtection="1">
      <alignment horizontal="right" vertical="center"/>
    </xf>
    <xf numFmtId="0" fontId="0" fillId="3" borderId="0" xfId="0" applyFill="1" applyBorder="1"/>
    <xf numFmtId="0" fontId="19" fillId="3" borderId="0" xfId="13" applyFont="1" applyFill="1" applyBorder="1" applyAlignment="1" applyProtection="1">
      <alignment horizontal="center" wrapText="1"/>
    </xf>
    <xf numFmtId="0" fontId="20" fillId="3" borderId="0" xfId="13" applyFont="1" applyFill="1" applyBorder="1" applyAlignment="1" applyProtection="1">
      <alignment vertical="center"/>
    </xf>
    <xf numFmtId="170" fontId="19" fillId="3" borderId="0" xfId="13" applyNumberFormat="1" applyFont="1" applyFill="1" applyBorder="1" applyAlignment="1" applyProtection="1">
      <alignment horizontal="right" vertical="center"/>
    </xf>
    <xf numFmtId="170" fontId="19" fillId="3" borderId="0" xfId="13" applyNumberFormat="1" applyFont="1" applyFill="1" applyBorder="1" applyAlignment="1" applyProtection="1">
      <alignment horizontal="right" vertical="center"/>
      <protection locked="0"/>
    </xf>
    <xf numFmtId="170" fontId="19" fillId="3" borderId="6" xfId="13" applyNumberFormat="1" applyFont="1" applyFill="1" applyBorder="1" applyAlignment="1" applyProtection="1">
      <alignment horizontal="right" vertical="center"/>
      <protection locked="0"/>
    </xf>
    <xf numFmtId="170" fontId="19" fillId="3" borderId="6" xfId="13" applyNumberFormat="1" applyFont="1" applyFill="1" applyBorder="1" applyAlignment="1" applyProtection="1">
      <alignment horizontal="right" vertical="center"/>
    </xf>
    <xf numFmtId="166" fontId="19" fillId="3" borderId="9" xfId="13" applyNumberFormat="1" applyFont="1" applyFill="1" applyBorder="1" applyAlignment="1" applyProtection="1">
      <alignment vertical="center"/>
    </xf>
    <xf numFmtId="170" fontId="19" fillId="3" borderId="9" xfId="13" applyNumberFormat="1" applyFont="1" applyFill="1" applyBorder="1" applyAlignment="1" applyProtection="1">
      <alignment horizontal="right" vertical="center"/>
    </xf>
    <xf numFmtId="3" fontId="0" fillId="3" borderId="0" xfId="0" applyNumberFormat="1" applyFill="1" applyBorder="1"/>
    <xf numFmtId="0" fontId="18" fillId="3" borderId="0" xfId="13" applyFont="1" applyFill="1" applyBorder="1" applyAlignment="1" applyProtection="1">
      <alignment horizontal="justify" vertical="center" wrapText="1"/>
    </xf>
    <xf numFmtId="0" fontId="0" fillId="3" borderId="0" xfId="0" applyFill="1" applyAlignment="1">
      <alignment horizontal="center"/>
    </xf>
    <xf numFmtId="0" fontId="19" fillId="0" borderId="0" xfId="13" applyFont="1" applyBorder="1" applyAlignment="1">
      <alignment horizontal="center" vertical="center" wrapText="1"/>
    </xf>
    <xf numFmtId="166" fontId="19" fillId="3" borderId="0" xfId="13" applyNumberFormat="1" applyFont="1" applyFill="1" applyBorder="1" applyAlignment="1" applyProtection="1">
      <alignment vertical="center"/>
    </xf>
    <xf numFmtId="166" fontId="20" fillId="3" borderId="0" xfId="13" applyNumberFormat="1" applyFont="1" applyFill="1" applyBorder="1" applyAlignment="1" applyProtection="1">
      <alignment vertical="center"/>
    </xf>
    <xf numFmtId="0" fontId="41" fillId="3" borderId="0" xfId="0" applyFont="1" applyFill="1" applyBorder="1" applyAlignment="1" applyProtection="1">
      <alignment horizontal="left" vertical="center" wrapText="1"/>
      <protection hidden="1"/>
    </xf>
    <xf numFmtId="4" fontId="18" fillId="3" borderId="0" xfId="10" applyNumberFormat="1" applyFont="1" applyFill="1" applyBorder="1"/>
    <xf numFmtId="0" fontId="18" fillId="3" borderId="0" xfId="10" applyFont="1" applyFill="1" applyBorder="1"/>
    <xf numFmtId="170" fontId="24" fillId="3" borderId="0" xfId="10" applyNumberFormat="1" applyFont="1" applyFill="1" applyBorder="1"/>
    <xf numFmtId="49" fontId="38" fillId="3" borderId="0" xfId="10" applyNumberFormat="1" applyFont="1" applyFill="1" applyBorder="1" applyAlignment="1">
      <alignment horizontal="center"/>
    </xf>
    <xf numFmtId="4" fontId="37" fillId="3" borderId="0" xfId="10" applyNumberFormat="1" applyFont="1" applyFill="1" applyBorder="1" applyAlignment="1">
      <alignment horizontal="center"/>
    </xf>
    <xf numFmtId="4" fontId="17" fillId="3" borderId="0" xfId="10" applyNumberFormat="1" applyFont="1" applyFill="1" applyBorder="1"/>
    <xf numFmtId="0" fontId="38" fillId="3" borderId="0" xfId="10" applyFont="1" applyFill="1" applyBorder="1" applyAlignment="1">
      <alignment horizontal="center"/>
    </xf>
    <xf numFmtId="2" fontId="18" fillId="3" borderId="0" xfId="10" applyNumberFormat="1" applyFont="1" applyFill="1" applyBorder="1"/>
    <xf numFmtId="0" fontId="24" fillId="3" borderId="0" xfId="10" applyFont="1" applyFill="1" applyBorder="1" applyAlignment="1">
      <alignment horizontal="center"/>
    </xf>
    <xf numFmtId="0" fontId="24" fillId="3" borderId="0" xfId="10" applyFont="1" applyFill="1" applyBorder="1" applyAlignment="1">
      <alignment horizontal="center" wrapText="1"/>
    </xf>
    <xf numFmtId="0" fontId="20" fillId="3" borderId="0" xfId="13" applyFont="1" applyFill="1" applyBorder="1" applyAlignment="1" applyProtection="1">
      <alignment horizontal="left" vertical="top" wrapText="1"/>
    </xf>
    <xf numFmtId="0" fontId="0" fillId="3" borderId="0" xfId="0" applyFill="1" applyAlignment="1">
      <alignment horizontal="justify" vertical="center"/>
    </xf>
    <xf numFmtId="166" fontId="56" fillId="3" borderId="0" xfId="13" applyNumberFormat="1" applyFont="1" applyFill="1" applyBorder="1" applyAlignment="1" applyProtection="1">
      <alignment horizontal="left"/>
    </xf>
    <xf numFmtId="0" fontId="39" fillId="3" borderId="0" xfId="13" applyFont="1" applyFill="1" applyBorder="1" applyAlignment="1" applyProtection="1">
      <alignment horizontal="center" vertical="center"/>
    </xf>
    <xf numFmtId="0" fontId="47" fillId="3" borderId="0" xfId="13" applyFont="1" applyFill="1" applyBorder="1" applyAlignment="1" applyProtection="1">
      <alignment horizontal="left" wrapText="1"/>
    </xf>
    <xf numFmtId="0" fontId="21" fillId="3" borderId="0" xfId="0" applyFont="1" applyFill="1" applyBorder="1" applyAlignment="1">
      <alignment horizontal="center"/>
    </xf>
    <xf numFmtId="170" fontId="22" fillId="3" borderId="0" xfId="0" applyNumberFormat="1" applyFont="1" applyFill="1" applyAlignment="1" applyProtection="1">
      <alignment horizontal="right" vertical="center"/>
      <protection hidden="1"/>
    </xf>
    <xf numFmtId="170" fontId="57" fillId="3" borderId="0" xfId="0" applyNumberFormat="1" applyFont="1" applyFill="1" applyAlignment="1" applyProtection="1">
      <alignment horizontal="right" vertical="center"/>
      <protection hidden="1"/>
    </xf>
    <xf numFmtId="170" fontId="46" fillId="3" borderId="0" xfId="0" applyNumberFormat="1" applyFont="1" applyFill="1" applyAlignment="1">
      <alignment horizontal="right"/>
    </xf>
    <xf numFmtId="170" fontId="46" fillId="3" borderId="0" xfId="13" applyNumberFormat="1" applyFont="1" applyFill="1" applyBorder="1" applyAlignment="1" applyProtection="1">
      <alignment horizontal="right" vertical="center" wrapText="1"/>
    </xf>
    <xf numFmtId="170" fontId="45" fillId="3" borderId="0" xfId="13" applyNumberFormat="1" applyFont="1" applyFill="1" applyBorder="1" applyAlignment="1" applyProtection="1">
      <alignment horizontal="right" vertical="center" wrapText="1"/>
    </xf>
    <xf numFmtId="170" fontId="45" fillId="3" borderId="6" xfId="13" applyNumberFormat="1" applyFont="1" applyFill="1" applyBorder="1" applyAlignment="1" applyProtection="1">
      <alignment horizontal="right" vertical="center" wrapText="1"/>
    </xf>
    <xf numFmtId="0" fontId="60" fillId="3" borderId="0" xfId="12" applyFont="1" applyFill="1" applyAlignment="1">
      <alignment wrapText="1"/>
    </xf>
    <xf numFmtId="0" fontId="2" fillId="3" borderId="0" xfId="12" applyFont="1" applyFill="1"/>
    <xf numFmtId="0" fontId="5" fillId="3" borderId="0" xfId="12" applyFont="1" applyFill="1" applyAlignment="1">
      <alignment wrapText="1"/>
    </xf>
    <xf numFmtId="0" fontId="2" fillId="3" borderId="0" xfId="12" applyFont="1" applyFill="1" applyAlignment="1">
      <alignment wrapText="1"/>
    </xf>
    <xf numFmtId="0" fontId="5" fillId="3" borderId="12" xfId="12" applyFont="1" applyFill="1" applyBorder="1" applyAlignment="1">
      <alignment horizontal="center"/>
    </xf>
    <xf numFmtId="0" fontId="5" fillId="3" borderId="12" xfId="12" applyFont="1" applyFill="1" applyBorder="1" applyAlignment="1">
      <alignment horizontal="center" wrapText="1"/>
    </xf>
    <xf numFmtId="0" fontId="5" fillId="3" borderId="0" xfId="12" applyFont="1" applyFill="1" applyBorder="1"/>
    <xf numFmtId="0" fontId="5" fillId="3" borderId="0" xfId="12" applyFont="1" applyFill="1" applyBorder="1" applyAlignment="1">
      <alignment wrapText="1"/>
    </xf>
    <xf numFmtId="0" fontId="61" fillId="3" borderId="0" xfId="12" applyFont="1" applyFill="1" applyAlignment="1">
      <alignment wrapText="1"/>
    </xf>
    <xf numFmtId="10" fontId="5" fillId="3" borderId="0" xfId="12" applyNumberFormat="1" applyFont="1" applyFill="1" applyBorder="1" applyAlignment="1">
      <alignment horizontal="center"/>
    </xf>
    <xf numFmtId="10" fontId="5" fillId="3" borderId="0" xfId="12" applyNumberFormat="1" applyFont="1" applyFill="1" applyBorder="1" applyAlignment="1">
      <alignment horizontal="center" wrapText="1"/>
    </xf>
    <xf numFmtId="40" fontId="5" fillId="3" borderId="0" xfId="12" applyNumberFormat="1" applyFont="1" applyFill="1" applyAlignment="1">
      <alignment horizontal="center"/>
    </xf>
    <xf numFmtId="40" fontId="2" fillId="3" borderId="0" xfId="12" applyNumberFormat="1" applyFont="1" applyFill="1"/>
    <xf numFmtId="0" fontId="5" fillId="3" borderId="13" xfId="12" applyFont="1" applyFill="1" applyBorder="1" applyAlignment="1">
      <alignment horizontal="center" wrapText="1"/>
    </xf>
    <xf numFmtId="9" fontId="5" fillId="3" borderId="0" xfId="12" applyNumberFormat="1" applyFont="1" applyFill="1" applyBorder="1" applyAlignment="1">
      <alignment horizontal="center"/>
    </xf>
    <xf numFmtId="0" fontId="6" fillId="3" borderId="0" xfId="12" applyFont="1" applyFill="1" applyAlignment="1">
      <alignment horizontal="center"/>
    </xf>
    <xf numFmtId="170" fontId="57" fillId="3" borderId="0" xfId="0" applyNumberFormat="1" applyFont="1" applyFill="1" applyBorder="1" applyAlignment="1" applyProtection="1">
      <alignment horizontal="right" vertical="center"/>
      <protection hidden="1"/>
    </xf>
    <xf numFmtId="0" fontId="21" fillId="3" borderId="11" xfId="0" applyFont="1" applyFill="1" applyBorder="1" applyAlignment="1">
      <alignment horizontal="center"/>
    </xf>
    <xf numFmtId="0" fontId="62" fillId="3" borderId="0" xfId="0" applyFont="1" applyFill="1" applyBorder="1" applyAlignment="1">
      <alignment horizontal="center"/>
    </xf>
    <xf numFmtId="0" fontId="0" fillId="3" borderId="0" xfId="0" applyFill="1" applyBorder="1" applyAlignment="1">
      <alignment horizontal="center"/>
    </xf>
    <xf numFmtId="0" fontId="15" fillId="3" borderId="0" xfId="13" applyFont="1" applyFill="1" applyBorder="1" applyAlignment="1" applyProtection="1">
      <alignment vertical="center"/>
    </xf>
    <xf numFmtId="0" fontId="33" fillId="3" borderId="0" xfId="0" applyFont="1" applyFill="1" applyBorder="1"/>
    <xf numFmtId="0" fontId="23" fillId="3" borderId="0" xfId="0" applyFont="1" applyFill="1" applyBorder="1"/>
    <xf numFmtId="0" fontId="0" fillId="3" borderId="0" xfId="0" applyFill="1" applyBorder="1" applyAlignment="1">
      <alignment horizontal="justify" vertical="center"/>
    </xf>
    <xf numFmtId="0" fontId="39" fillId="3" borderId="11" xfId="13" applyFont="1" applyFill="1" applyBorder="1" applyAlignment="1" applyProtection="1">
      <alignment horizontal="center" vertical="center" wrapText="1"/>
      <protection hidden="1"/>
    </xf>
    <xf numFmtId="0" fontId="39" fillId="3" borderId="0" xfId="13" applyNumberFormat="1" applyFont="1" applyFill="1" applyBorder="1" applyAlignment="1" applyProtection="1">
      <alignment horizontal="center" vertical="center" wrapText="1"/>
      <protection hidden="1"/>
    </xf>
    <xf numFmtId="0" fontId="12" fillId="3" borderId="0" xfId="13" applyFont="1" applyFill="1" applyBorder="1" applyAlignment="1" applyProtection="1">
      <alignment horizontal="center" vertical="center"/>
    </xf>
    <xf numFmtId="0" fontId="40" fillId="0" borderId="0" xfId="13" applyFont="1" applyBorder="1" applyAlignment="1" applyProtection="1">
      <alignment horizontal="left" vertical="center" wrapText="1"/>
      <protection hidden="1"/>
    </xf>
    <xf numFmtId="0" fontId="40" fillId="0" borderId="0" xfId="13" applyFont="1" applyBorder="1" applyAlignment="1" applyProtection="1">
      <alignment horizontal="center" vertical="center" wrapText="1"/>
      <protection hidden="1"/>
    </xf>
    <xf numFmtId="0" fontId="2" fillId="3" borderId="0" xfId="10" applyFont="1" applyFill="1" applyAlignment="1">
      <alignment wrapText="1"/>
    </xf>
    <xf numFmtId="170" fontId="25" fillId="3" borderId="0" xfId="10" applyNumberFormat="1" applyFont="1" applyFill="1"/>
    <xf numFmtId="170" fontId="54" fillId="3" borderId="0" xfId="0" applyNumberFormat="1" applyFont="1" applyFill="1" applyAlignment="1" applyProtection="1">
      <alignment horizontal="right" vertical="center"/>
      <protection hidden="1"/>
    </xf>
    <xf numFmtId="0" fontId="0" fillId="3" borderId="0" xfId="0" applyFill="1" applyBorder="1" applyProtection="1">
      <protection hidden="1"/>
    </xf>
    <xf numFmtId="0" fontId="0" fillId="0" borderId="0" xfId="0" applyFill="1" applyProtection="1">
      <protection hidden="1"/>
    </xf>
    <xf numFmtId="167" fontId="2" fillId="3" borderId="10" xfId="12" applyNumberFormat="1" applyFont="1" applyFill="1" applyBorder="1"/>
    <xf numFmtId="167" fontId="2" fillId="3" borderId="0" xfId="12" applyNumberFormat="1" applyFont="1" applyFill="1"/>
    <xf numFmtId="167" fontId="2" fillId="3" borderId="9" xfId="12" applyNumberFormat="1" applyFont="1" applyFill="1" applyBorder="1"/>
    <xf numFmtId="167" fontId="2" fillId="3" borderId="0" xfId="12" applyNumberFormat="1" applyFont="1" applyFill="1" applyBorder="1"/>
    <xf numFmtId="167" fontId="2" fillId="3" borderId="2" xfId="12" applyNumberFormat="1" applyFont="1" applyFill="1" applyBorder="1"/>
    <xf numFmtId="167" fontId="2" fillId="3" borderId="14" xfId="12" applyNumberFormat="1" applyFont="1" applyFill="1" applyBorder="1"/>
    <xf numFmtId="38" fontId="2" fillId="3" borderId="0" xfId="12" applyNumberFormat="1" applyFont="1" applyFill="1"/>
    <xf numFmtId="38" fontId="2" fillId="3" borderId="2" xfId="12" applyNumberFormat="1" applyFont="1" applyFill="1" applyBorder="1"/>
    <xf numFmtId="38" fontId="2" fillId="3" borderId="0" xfId="12" applyNumberFormat="1" applyFont="1" applyFill="1" applyBorder="1"/>
    <xf numFmtId="0" fontId="66" fillId="3" borderId="0" xfId="10" applyFont="1" applyFill="1"/>
    <xf numFmtId="172" fontId="46" fillId="3" borderId="0" xfId="13" applyNumberFormat="1" applyFont="1" applyFill="1" applyBorder="1" applyAlignment="1" applyProtection="1"/>
    <xf numFmtId="41" fontId="46" fillId="3" borderId="0" xfId="13" applyNumberFormat="1" applyFont="1" applyFill="1" applyBorder="1" applyAlignment="1" applyProtection="1"/>
    <xf numFmtId="172" fontId="45" fillId="3" borderId="0" xfId="13" applyNumberFormat="1" applyFont="1" applyFill="1" applyBorder="1" applyAlignment="1" applyProtection="1"/>
    <xf numFmtId="170" fontId="46" fillId="3" borderId="0" xfId="13" applyNumberFormat="1" applyFont="1" applyFill="1" applyBorder="1" applyAlignment="1" applyProtection="1">
      <protection locked="0"/>
    </xf>
    <xf numFmtId="170" fontId="46" fillId="3" borderId="0" xfId="13" applyNumberFormat="1" applyFont="1" applyFill="1" applyBorder="1" applyAlignment="1" applyProtection="1">
      <alignment horizontal="right" vertical="center"/>
      <protection locked="0"/>
    </xf>
    <xf numFmtId="172" fontId="46" fillId="3" borderId="0" xfId="13" applyNumberFormat="1" applyFont="1" applyFill="1" applyBorder="1" applyAlignment="1" applyProtection="1">
      <alignment horizontal="left" vertical="center" wrapText="1"/>
    </xf>
    <xf numFmtId="41" fontId="46" fillId="3" borderId="0" xfId="13" applyNumberFormat="1" applyFont="1" applyFill="1" applyBorder="1" applyAlignment="1" applyProtection="1">
      <alignment vertical="center" wrapText="1"/>
    </xf>
    <xf numFmtId="170" fontId="46" fillId="3" borderId="0" xfId="13" applyNumberFormat="1" applyFont="1" applyFill="1" applyBorder="1" applyAlignment="1" applyProtection="1">
      <alignment horizontal="right"/>
      <protection locked="0"/>
    </xf>
    <xf numFmtId="170" fontId="46" fillId="3" borderId="0" xfId="13" applyNumberFormat="1" applyFont="1" applyFill="1" applyBorder="1" applyAlignment="1" applyProtection="1">
      <alignment horizontal="right" vertical="center"/>
    </xf>
    <xf numFmtId="41" fontId="46" fillId="3" borderId="6" xfId="13" applyNumberFormat="1" applyFont="1" applyFill="1" applyBorder="1" applyAlignment="1" applyProtection="1">
      <alignment vertical="center" wrapText="1"/>
    </xf>
    <xf numFmtId="41" fontId="46" fillId="3" borderId="9" xfId="13" applyNumberFormat="1" applyFont="1" applyFill="1" applyBorder="1" applyAlignment="1" applyProtection="1">
      <alignment vertical="center" wrapText="1"/>
    </xf>
    <xf numFmtId="172" fontId="45" fillId="3" borderId="0" xfId="13" applyNumberFormat="1" applyFont="1" applyFill="1" applyBorder="1" applyAlignment="1" applyProtection="1">
      <alignment horizontal="left" vertical="center" wrapText="1"/>
    </xf>
    <xf numFmtId="166" fontId="46" fillId="3" borderId="0" xfId="13" applyNumberFormat="1" applyFont="1" applyFill="1" applyBorder="1" applyAlignment="1" applyProtection="1">
      <alignment horizontal="center" vertical="center" wrapText="1"/>
    </xf>
    <xf numFmtId="166" fontId="46" fillId="3" borderId="0" xfId="13" applyNumberFormat="1" applyFont="1" applyFill="1" applyBorder="1" applyAlignment="1" applyProtection="1">
      <alignment horizontal="right" vertical="center" wrapText="1"/>
      <protection locked="0"/>
    </xf>
    <xf numFmtId="166" fontId="46" fillId="3" borderId="0" xfId="13" applyNumberFormat="1" applyFont="1" applyFill="1" applyBorder="1" applyAlignment="1" applyProtection="1">
      <alignment vertical="center" wrapText="1"/>
      <protection locked="0"/>
    </xf>
    <xf numFmtId="170" fontId="46" fillId="3" borderId="0" xfId="13" applyNumberFormat="1" applyFont="1" applyFill="1" applyBorder="1" applyAlignment="1" applyProtection="1">
      <alignment horizontal="right" vertical="center" wrapText="1"/>
      <protection locked="0"/>
    </xf>
    <xf numFmtId="166" fontId="46" fillId="3" borderId="0" xfId="13" applyNumberFormat="1" applyFont="1" applyFill="1" applyBorder="1" applyAlignment="1" applyProtection="1">
      <alignment horizontal="left" vertical="center" wrapText="1"/>
    </xf>
    <xf numFmtId="170" fontId="46" fillId="3" borderId="11" xfId="13" applyNumberFormat="1" applyFont="1" applyFill="1" applyBorder="1" applyAlignment="1" applyProtection="1">
      <alignment horizontal="right" vertical="center" wrapText="1"/>
      <protection locked="0"/>
    </xf>
    <xf numFmtId="166" fontId="46" fillId="3" borderId="11" xfId="13" applyNumberFormat="1" applyFont="1" applyFill="1" applyBorder="1" applyAlignment="1" applyProtection="1">
      <alignment horizontal="right" vertical="center" wrapText="1"/>
      <protection locked="0"/>
    </xf>
    <xf numFmtId="166" fontId="45" fillId="3" borderId="0" xfId="13" applyNumberFormat="1" applyFont="1" applyFill="1" applyBorder="1" applyAlignment="1" applyProtection="1">
      <alignment horizontal="center" vertical="center"/>
    </xf>
    <xf numFmtId="166" fontId="46" fillId="3" borderId="0" xfId="13" applyNumberFormat="1" applyFont="1" applyFill="1" applyAlignment="1" applyProtection="1">
      <alignment vertical="center" wrapText="1"/>
    </xf>
    <xf numFmtId="172" fontId="46" fillId="3" borderId="0" xfId="13" applyNumberFormat="1" applyFont="1" applyFill="1" applyBorder="1" applyAlignment="1" applyProtection="1">
      <alignment horizontal="left" vertical="center"/>
    </xf>
    <xf numFmtId="170" fontId="46" fillId="3" borderId="6" xfId="13" applyNumberFormat="1" applyFont="1" applyFill="1" applyBorder="1" applyAlignment="1" applyProtection="1">
      <alignment horizontal="right" vertical="center" wrapText="1"/>
    </xf>
    <xf numFmtId="170" fontId="46" fillId="3" borderId="7" xfId="13" applyNumberFormat="1" applyFont="1" applyFill="1" applyBorder="1" applyAlignment="1" applyProtection="1">
      <alignment horizontal="right" vertical="center"/>
    </xf>
    <xf numFmtId="170" fontId="46" fillId="3" borderId="11" xfId="13" applyNumberFormat="1" applyFont="1" applyFill="1" applyBorder="1" applyAlignment="1" applyProtection="1">
      <alignment horizontal="right" vertical="center"/>
    </xf>
    <xf numFmtId="38" fontId="45" fillId="3" borderId="0" xfId="13" applyNumberFormat="1" applyFont="1" applyFill="1" applyBorder="1" applyAlignment="1" applyProtection="1">
      <alignment horizontal="left" vertical="center" wrapText="1"/>
    </xf>
    <xf numFmtId="38" fontId="45" fillId="3" borderId="0" xfId="13" applyNumberFormat="1" applyFont="1" applyFill="1" applyBorder="1" applyAlignment="1" applyProtection="1">
      <alignment horizontal="center" vertical="center"/>
    </xf>
    <xf numFmtId="0" fontId="46" fillId="3" borderId="0" xfId="13" applyFont="1" applyFill="1" applyBorder="1" applyAlignment="1" applyProtection="1">
      <alignment horizontal="center" vertical="center"/>
    </xf>
    <xf numFmtId="0" fontId="45" fillId="3" borderId="0" xfId="13" applyFont="1" applyFill="1" applyBorder="1" applyAlignment="1" applyProtection="1">
      <alignment horizontal="left" vertical="center"/>
    </xf>
    <xf numFmtId="0" fontId="46" fillId="3" borderId="0" xfId="13" applyFont="1" applyFill="1" applyBorder="1" applyAlignment="1" applyProtection="1">
      <alignment horizontal="left" vertical="center"/>
    </xf>
    <xf numFmtId="172" fontId="45" fillId="3" borderId="0" xfId="13" applyNumberFormat="1" applyFont="1" applyFill="1" applyBorder="1" applyAlignment="1" applyProtection="1">
      <alignment horizontal="left" vertical="center"/>
    </xf>
    <xf numFmtId="0" fontId="67" fillId="3" borderId="0" xfId="13" applyFont="1" applyFill="1" applyBorder="1" applyAlignment="1" applyProtection="1">
      <alignment horizontal="center" vertical="center"/>
    </xf>
    <xf numFmtId="170" fontId="46" fillId="3" borderId="0" xfId="13" applyNumberFormat="1" applyFont="1" applyFill="1" applyBorder="1" applyAlignment="1" applyProtection="1">
      <alignment horizontal="left" vertical="center"/>
    </xf>
    <xf numFmtId="170" fontId="46" fillId="3" borderId="0" xfId="13" applyNumberFormat="1" applyFont="1" applyFill="1" applyBorder="1" applyAlignment="1" applyProtection="1">
      <alignment horizontal="center" vertical="center"/>
    </xf>
    <xf numFmtId="170" fontId="46" fillId="3" borderId="9" xfId="13" applyNumberFormat="1" applyFont="1" applyFill="1" applyBorder="1" applyAlignment="1" applyProtection="1">
      <alignment horizontal="right" vertical="center"/>
    </xf>
    <xf numFmtId="0" fontId="45" fillId="3" borderId="0" xfId="13" applyFont="1" applyFill="1" applyBorder="1" applyAlignment="1" applyProtection="1">
      <alignment horizontal="center" vertical="center"/>
    </xf>
    <xf numFmtId="0" fontId="63" fillId="3" borderId="0" xfId="0" applyFont="1" applyFill="1"/>
    <xf numFmtId="4" fontId="63" fillId="3" borderId="0" xfId="0" applyNumberFormat="1" applyFont="1" applyFill="1"/>
    <xf numFmtId="4" fontId="63" fillId="3" borderId="0" xfId="0" applyNumberFormat="1" applyFont="1" applyFill="1" applyBorder="1"/>
    <xf numFmtId="4" fontId="63" fillId="3" borderId="0" xfId="0" applyNumberFormat="1" applyFont="1" applyFill="1" applyAlignment="1">
      <alignment horizontal="right"/>
    </xf>
    <xf numFmtId="0" fontId="63" fillId="3" borderId="0" xfId="0" applyFont="1" applyFill="1" applyAlignment="1">
      <alignment wrapText="1"/>
    </xf>
    <xf numFmtId="4" fontId="63" fillId="3" borderId="0" xfId="0" applyNumberFormat="1" applyFont="1" applyFill="1" applyAlignment="1">
      <alignment wrapText="1"/>
    </xf>
    <xf numFmtId="4" fontId="63" fillId="3" borderId="0" xfId="0" applyNumberFormat="1" applyFont="1" applyFill="1" applyBorder="1" applyAlignment="1">
      <alignment wrapText="1"/>
    </xf>
    <xf numFmtId="4" fontId="63" fillId="3" borderId="6" xfId="0" applyNumberFormat="1" applyFont="1" applyFill="1" applyBorder="1"/>
    <xf numFmtId="3" fontId="63" fillId="3" borderId="6" xfId="0" applyNumberFormat="1" applyFont="1" applyFill="1" applyBorder="1"/>
    <xf numFmtId="3" fontId="63" fillId="3" borderId="0" xfId="0" applyNumberFormat="1" applyFont="1" applyFill="1" applyBorder="1"/>
    <xf numFmtId="3" fontId="63" fillId="3" borderId="0" xfId="0" applyNumberFormat="1" applyFont="1" applyFill="1"/>
    <xf numFmtId="167" fontId="63" fillId="3" borderId="0" xfId="0" applyNumberFormat="1" applyFont="1" applyFill="1"/>
    <xf numFmtId="167" fontId="63" fillId="3" borderId="9" xfId="0" applyNumberFormat="1" applyFont="1" applyFill="1" applyBorder="1"/>
    <xf numFmtId="167" fontId="63" fillId="3" borderId="0" xfId="0" applyNumberFormat="1" applyFont="1" applyFill="1" applyBorder="1"/>
    <xf numFmtId="0" fontId="68" fillId="3" borderId="0" xfId="0" applyFont="1" applyFill="1"/>
    <xf numFmtId="49" fontId="14" fillId="3" borderId="0" xfId="12" applyNumberFormat="1" applyFont="1" applyFill="1" applyAlignment="1">
      <alignment wrapText="1"/>
    </xf>
    <xf numFmtId="0" fontId="9" fillId="3" borderId="0" xfId="12" applyFont="1" applyFill="1" applyAlignment="1">
      <alignment wrapText="1"/>
    </xf>
    <xf numFmtId="40" fontId="9" fillId="3" borderId="0" xfId="12" applyNumberFormat="1" applyFont="1" applyFill="1"/>
    <xf numFmtId="167" fontId="9" fillId="3" borderId="0" xfId="12" applyNumberFormat="1" applyFont="1" applyFill="1"/>
    <xf numFmtId="0" fontId="34" fillId="3" borderId="0" xfId="0" applyFont="1" applyFill="1" applyAlignment="1" applyProtection="1">
      <alignment vertical="center"/>
      <protection hidden="1"/>
    </xf>
    <xf numFmtId="0" fontId="44" fillId="3" borderId="0" xfId="13" applyFont="1" applyFill="1" applyBorder="1" applyAlignment="1" applyProtection="1">
      <alignment horizontal="left" vertical="center"/>
    </xf>
    <xf numFmtId="0" fontId="49" fillId="3" borderId="0" xfId="13" applyFont="1" applyFill="1" applyBorder="1" applyAlignment="1" applyProtection="1">
      <alignment horizontal="center" vertical="center" wrapText="1"/>
    </xf>
    <xf numFmtId="166" fontId="42" fillId="3" borderId="0" xfId="13" applyNumberFormat="1" applyFont="1" applyFill="1" applyAlignment="1" applyProtection="1">
      <alignment horizontal="left" vertical="center"/>
    </xf>
    <xf numFmtId="0" fontId="52" fillId="3" borderId="0" xfId="0" applyFont="1" applyFill="1"/>
    <xf numFmtId="0" fontId="42" fillId="0" borderId="0" xfId="13" applyFont="1" applyAlignment="1" applyProtection="1">
      <alignment horizontal="left" vertical="center" wrapText="1"/>
      <protection hidden="1"/>
    </xf>
    <xf numFmtId="0" fontId="40" fillId="0" borderId="11" xfId="13" applyFont="1" applyBorder="1" applyAlignment="1" applyProtection="1">
      <alignment horizontal="center" vertical="center" wrapText="1"/>
      <protection hidden="1"/>
    </xf>
    <xf numFmtId="0" fontId="40" fillId="0" borderId="0" xfId="13" applyFont="1" applyFill="1" applyBorder="1" applyAlignment="1" applyProtection="1">
      <alignment horizontal="center" vertical="center" wrapText="1"/>
      <protection hidden="1"/>
    </xf>
    <xf numFmtId="0" fontId="42" fillId="0" borderId="0" xfId="13" applyFont="1" applyAlignment="1">
      <alignment horizontal="center" vertical="center" wrapText="1"/>
    </xf>
    <xf numFmtId="0" fontId="44" fillId="0" borderId="0" xfId="13" applyFont="1" applyFill="1" applyBorder="1" applyAlignment="1">
      <alignment horizontal="left" vertical="center" wrapText="1"/>
    </xf>
    <xf numFmtId="4" fontId="44" fillId="0" borderId="0" xfId="13" applyNumberFormat="1" applyFont="1" applyFill="1" applyBorder="1" applyAlignment="1">
      <alignment horizontal="right" vertical="center" wrapText="1"/>
    </xf>
    <xf numFmtId="166" fontId="44" fillId="0" borderId="0" xfId="13" applyNumberFormat="1" applyFont="1" applyFill="1" applyBorder="1" applyAlignment="1">
      <alignment horizontal="right" vertical="center" wrapText="1"/>
    </xf>
    <xf numFmtId="0" fontId="44" fillId="0" borderId="0" xfId="13" applyFont="1" applyFill="1" applyBorder="1" applyAlignment="1">
      <alignment horizontal="left" vertical="center"/>
    </xf>
    <xf numFmtId="4" fontId="44" fillId="0" borderId="0" xfId="13" applyNumberFormat="1" applyFont="1" applyFill="1" applyBorder="1" applyAlignment="1">
      <alignment horizontal="right" vertical="center"/>
    </xf>
    <xf numFmtId="166" fontId="44" fillId="0" borderId="0" xfId="13" applyNumberFormat="1" applyFont="1" applyFill="1" applyBorder="1" applyAlignment="1">
      <alignment horizontal="right" vertical="center"/>
    </xf>
    <xf numFmtId="0" fontId="39" fillId="0" borderId="0" xfId="13" applyFont="1" applyFill="1" applyBorder="1" applyAlignment="1">
      <alignment horizontal="left" vertical="center" wrapText="1"/>
    </xf>
    <xf numFmtId="4" fontId="39" fillId="0" borderId="9" xfId="13" applyNumberFormat="1" applyFont="1" applyFill="1" applyBorder="1" applyAlignment="1">
      <alignment horizontal="right" vertical="center" wrapText="1"/>
    </xf>
    <xf numFmtId="4" fontId="39" fillId="0" borderId="0" xfId="13" applyNumberFormat="1" applyFont="1" applyFill="1" applyBorder="1" applyAlignment="1">
      <alignment horizontal="right" vertical="center" wrapText="1"/>
    </xf>
    <xf numFmtId="166" fontId="39" fillId="0" borderId="9" xfId="13" applyNumberFormat="1" applyFont="1" applyFill="1" applyBorder="1" applyAlignment="1">
      <alignment horizontal="right" vertical="center" wrapText="1"/>
    </xf>
    <xf numFmtId="0" fontId="44" fillId="0" borderId="0" xfId="13" applyFont="1" applyFill="1" applyBorder="1" applyAlignment="1">
      <alignment horizontal="center" vertical="center" wrapText="1"/>
    </xf>
    <xf numFmtId="0" fontId="44" fillId="0" borderId="0" xfId="13" applyFont="1" applyAlignment="1">
      <alignment horizontal="center" vertical="center" wrapText="1"/>
    </xf>
    <xf numFmtId="0" fontId="44" fillId="0" borderId="0" xfId="13" applyFont="1" applyAlignment="1" applyProtection="1">
      <alignment horizontal="left" vertical="center" wrapText="1"/>
      <protection hidden="1"/>
    </xf>
    <xf numFmtId="3" fontId="44" fillId="0" borderId="0" xfId="13" applyNumberFormat="1" applyFont="1" applyFill="1" applyAlignment="1" applyProtection="1">
      <alignment horizontal="right" vertical="center" wrapText="1"/>
      <protection hidden="1"/>
    </xf>
    <xf numFmtId="0" fontId="44" fillId="0" borderId="0" xfId="13" applyFont="1" applyFill="1" applyAlignment="1" applyProtection="1">
      <alignment horizontal="left" vertical="center" wrapText="1"/>
      <protection hidden="1"/>
    </xf>
    <xf numFmtId="173" fontId="44" fillId="0" borderId="0" xfId="1" applyNumberFormat="1" applyFont="1" applyAlignment="1" applyProtection="1">
      <alignment horizontal="right" vertical="center" wrapText="1"/>
      <protection hidden="1"/>
    </xf>
    <xf numFmtId="0" fontId="44" fillId="0" borderId="0" xfId="13" applyFont="1" applyAlignment="1" applyProtection="1">
      <alignment horizontal="right" vertical="center" wrapText="1"/>
      <protection hidden="1"/>
    </xf>
    <xf numFmtId="165" fontId="44" fillId="0" borderId="0" xfId="13" applyNumberFormat="1" applyFont="1" applyAlignment="1" applyProtection="1">
      <alignment horizontal="right" vertical="center" wrapText="1"/>
      <protection hidden="1"/>
    </xf>
    <xf numFmtId="41" fontId="44" fillId="0" borderId="15" xfId="13" applyNumberFormat="1" applyFont="1" applyFill="1" applyBorder="1" applyAlignment="1">
      <alignment horizontal="right" vertical="center" wrapText="1"/>
    </xf>
    <xf numFmtId="41" fontId="44" fillId="0" borderId="0" xfId="13" applyNumberFormat="1" applyFont="1" applyFill="1" applyBorder="1" applyAlignment="1">
      <alignment horizontal="left" vertical="center" wrapText="1"/>
    </xf>
    <xf numFmtId="169" fontId="44" fillId="0" borderId="15" xfId="13" applyNumberFormat="1" applyFont="1" applyFill="1" applyBorder="1" applyAlignment="1">
      <alignment horizontal="right" vertical="center" wrapText="1"/>
    </xf>
    <xf numFmtId="169" fontId="44" fillId="0" borderId="0" xfId="13" applyNumberFormat="1" applyFont="1" applyFill="1" applyBorder="1" applyAlignment="1">
      <alignment horizontal="right" vertical="center" wrapText="1"/>
    </xf>
    <xf numFmtId="169" fontId="44" fillId="0" borderId="15" xfId="13" applyNumberFormat="1" applyFont="1" applyBorder="1" applyAlignment="1">
      <alignment horizontal="right" vertical="center" wrapText="1"/>
    </xf>
    <xf numFmtId="0" fontId="44" fillId="3" borderId="0" xfId="13" applyFont="1" applyFill="1" applyBorder="1" applyAlignment="1" applyProtection="1">
      <alignment horizontal="left" vertical="center" wrapText="1"/>
    </xf>
    <xf numFmtId="0" fontId="42" fillId="3" borderId="0" xfId="13" applyNumberFormat="1" applyFont="1" applyFill="1" applyAlignment="1" applyProtection="1">
      <alignment horizontal="center" vertical="center"/>
    </xf>
    <xf numFmtId="166" fontId="40" fillId="3" borderId="0" xfId="13" applyNumberFormat="1" applyFont="1" applyFill="1" applyBorder="1" applyAlignment="1" applyProtection="1">
      <alignment horizontal="center" wrapText="1"/>
    </xf>
    <xf numFmtId="166" fontId="40" fillId="3" borderId="0" xfId="13" applyNumberFormat="1" applyFont="1" applyFill="1" applyBorder="1" applyAlignment="1" applyProtection="1">
      <alignment horizontal="center"/>
    </xf>
    <xf numFmtId="0" fontId="42" fillId="3" borderId="0" xfId="13" applyFont="1" applyFill="1" applyBorder="1" applyAlignment="1" applyProtection="1">
      <alignment vertical="center"/>
    </xf>
    <xf numFmtId="170" fontId="44" fillId="3" borderId="6" xfId="13" applyNumberFormat="1" applyFont="1" applyFill="1" applyBorder="1" applyAlignment="1" applyProtection="1">
      <alignment horizontal="right" vertical="center"/>
    </xf>
    <xf numFmtId="0" fontId="39" fillId="3" borderId="0" xfId="13" applyFont="1" applyFill="1" applyBorder="1" applyAlignment="1" applyProtection="1">
      <alignment horizontal="left" vertical="center"/>
    </xf>
    <xf numFmtId="170" fontId="44" fillId="3" borderId="0" xfId="13" applyNumberFormat="1" applyFont="1" applyFill="1" applyBorder="1" applyAlignment="1" applyProtection="1">
      <alignment vertical="center"/>
    </xf>
    <xf numFmtId="0" fontId="44" fillId="3" borderId="0" xfId="13" applyFont="1" applyFill="1" applyBorder="1" applyAlignment="1" applyProtection="1">
      <alignment vertical="center"/>
    </xf>
    <xf numFmtId="0" fontId="39" fillId="3" borderId="0" xfId="13" applyFont="1" applyFill="1" applyBorder="1" applyAlignment="1" applyProtection="1">
      <alignment vertical="center" wrapText="1"/>
    </xf>
    <xf numFmtId="0" fontId="39" fillId="3" borderId="0" xfId="13" applyFont="1" applyFill="1" applyBorder="1" applyAlignment="1" applyProtection="1">
      <alignment horizontal="center" vertical="center" wrapText="1"/>
    </xf>
    <xf numFmtId="0" fontId="40" fillId="3" borderId="0" xfId="13" applyFont="1" applyFill="1" applyBorder="1" applyAlignment="1" applyProtection="1">
      <alignment horizontal="center" wrapText="1"/>
    </xf>
    <xf numFmtId="0" fontId="43" fillId="3" borderId="0" xfId="13" applyFont="1" applyFill="1" applyBorder="1" applyAlignment="1" applyProtection="1">
      <alignment horizontal="left" wrapText="1"/>
    </xf>
    <xf numFmtId="0" fontId="70" fillId="3" borderId="0" xfId="13" applyFont="1" applyFill="1" applyBorder="1" applyAlignment="1" applyProtection="1">
      <alignment horizontal="center" wrapText="1"/>
    </xf>
    <xf numFmtId="0" fontId="40" fillId="3" borderId="0" xfId="13" applyFont="1" applyFill="1" applyBorder="1" applyAlignment="1" applyProtection="1">
      <alignment horizontal="right" wrapText="1"/>
    </xf>
    <xf numFmtId="0" fontId="40" fillId="3" borderId="0" xfId="13" applyFont="1" applyFill="1" applyBorder="1" applyAlignment="1" applyProtection="1">
      <alignment horizontal="right" vertical="center" wrapText="1"/>
    </xf>
    <xf numFmtId="170" fontId="44" fillId="3" borderId="6" xfId="13" applyNumberFormat="1" applyFont="1" applyFill="1" applyBorder="1" applyAlignment="1" applyProtection="1">
      <alignment horizontal="right" vertical="center"/>
      <protection locked="0"/>
    </xf>
    <xf numFmtId="166" fontId="44" fillId="3" borderId="9" xfId="13" applyNumberFormat="1" applyFont="1" applyFill="1" applyBorder="1" applyAlignment="1" applyProtection="1">
      <alignment vertical="center"/>
    </xf>
    <xf numFmtId="166" fontId="44" fillId="3" borderId="0" xfId="13" applyNumberFormat="1" applyFont="1" applyFill="1" applyBorder="1" applyAlignment="1" applyProtection="1">
      <alignment vertical="center"/>
    </xf>
    <xf numFmtId="166" fontId="39" fillId="3" borderId="0" xfId="13" applyNumberFormat="1" applyFont="1" applyFill="1" applyBorder="1" applyAlignment="1" applyProtection="1">
      <alignment vertical="center"/>
    </xf>
    <xf numFmtId="170" fontId="44" fillId="3" borderId="9" xfId="13" applyNumberFormat="1" applyFont="1" applyFill="1" applyBorder="1" applyAlignment="1" applyProtection="1">
      <alignment vertical="center"/>
    </xf>
    <xf numFmtId="170" fontId="2" fillId="3" borderId="0" xfId="10" applyNumberFormat="1" applyFont="1" applyFill="1" applyBorder="1"/>
    <xf numFmtId="0" fontId="73" fillId="3" borderId="0" xfId="13" applyFont="1" applyFill="1" applyBorder="1" applyAlignment="1" applyProtection="1">
      <alignment horizontal="left"/>
    </xf>
    <xf numFmtId="166" fontId="64" fillId="0" borderId="0" xfId="11" applyNumberFormat="1" applyFont="1" applyFill="1" applyAlignment="1" applyProtection="1">
      <alignment horizontal="left" vertical="center" wrapText="1"/>
      <protection hidden="1"/>
    </xf>
    <xf numFmtId="0" fontId="74" fillId="0" borderId="0" xfId="9" applyFont="1" applyFill="1" applyAlignment="1" applyProtection="1">
      <alignment horizontal="left" vertical="center" wrapText="1"/>
      <protection hidden="1"/>
    </xf>
    <xf numFmtId="166" fontId="28" fillId="0" borderId="0" xfId="11" applyNumberFormat="1" applyFont="1" applyFill="1" applyAlignment="1" applyProtection="1">
      <alignment horizontal="left" vertical="center" wrapText="1"/>
      <protection hidden="1"/>
    </xf>
    <xf numFmtId="166" fontId="1" fillId="3" borderId="0" xfId="11" applyNumberFormat="1" applyFont="1" applyFill="1" applyProtection="1">
      <protection hidden="1"/>
    </xf>
    <xf numFmtId="166" fontId="2" fillId="0" borderId="0" xfId="9" applyNumberFormat="1" applyFont="1" applyFill="1" applyAlignment="1" applyProtection="1">
      <alignment horizontal="center" vertical="center" wrapText="1"/>
      <protection hidden="1"/>
    </xf>
    <xf numFmtId="0" fontId="2" fillId="0" borderId="0" xfId="9" applyFont="1" applyAlignment="1" applyProtection="1">
      <alignment vertical="center" wrapText="1"/>
      <protection hidden="1"/>
    </xf>
    <xf numFmtId="166" fontId="13" fillId="0" borderId="0" xfId="9" applyNumberFormat="1" applyFont="1" applyFill="1" applyBorder="1" applyAlignment="1" applyProtection="1">
      <alignment horizontal="center" vertical="center"/>
      <protection hidden="1"/>
    </xf>
    <xf numFmtId="166" fontId="2" fillId="3" borderId="0" xfId="9" applyNumberFormat="1" applyFont="1" applyFill="1" applyBorder="1" applyAlignment="1" applyProtection="1">
      <alignment horizontal="center" vertical="center" wrapText="1"/>
      <protection hidden="1"/>
    </xf>
    <xf numFmtId="0" fontId="2" fillId="3" borderId="0" xfId="9" applyFont="1" applyFill="1" applyBorder="1" applyAlignment="1" applyProtection="1">
      <alignment vertical="center" wrapText="1"/>
      <protection hidden="1"/>
    </xf>
    <xf numFmtId="170" fontId="13" fillId="3" borderId="0" xfId="9" applyNumberFormat="1" applyFont="1" applyFill="1" applyBorder="1" applyAlignment="1" applyProtection="1">
      <alignment horizontal="center" vertical="center"/>
      <protection hidden="1"/>
    </xf>
    <xf numFmtId="166" fontId="13" fillId="3" borderId="0" xfId="9" applyNumberFormat="1" applyFont="1" applyFill="1" applyBorder="1" applyAlignment="1" applyProtection="1">
      <alignment horizontal="center" vertical="center"/>
      <protection hidden="1"/>
    </xf>
    <xf numFmtId="0" fontId="75" fillId="3" borderId="0" xfId="9" applyFont="1" applyFill="1" applyBorder="1" applyAlignment="1" applyProtection="1">
      <alignment horizontal="right" vertical="center" wrapText="1"/>
      <protection hidden="1"/>
    </xf>
    <xf numFmtId="166" fontId="76" fillId="0" borderId="1" xfId="9" applyNumberFormat="1" applyFont="1" applyBorder="1" applyAlignment="1" applyProtection="1">
      <alignment horizontal="center" vertical="center"/>
      <protection hidden="1"/>
    </xf>
    <xf numFmtId="166" fontId="76" fillId="0" borderId="0" xfId="9" applyNumberFormat="1" applyFont="1" applyFill="1" applyBorder="1" applyAlignment="1" applyProtection="1">
      <alignment horizontal="center" vertical="center"/>
      <protection hidden="1"/>
    </xf>
    <xf numFmtId="170" fontId="76" fillId="0" borderId="1" xfId="9" applyNumberFormat="1" applyFont="1" applyBorder="1" applyAlignment="1" applyProtection="1">
      <alignment horizontal="center" vertical="center" wrapText="1"/>
      <protection hidden="1"/>
    </xf>
    <xf numFmtId="166" fontId="76" fillId="0" borderId="16" xfId="9" applyNumberFormat="1" applyFont="1" applyFill="1" applyBorder="1" applyAlignment="1" applyProtection="1">
      <alignment horizontal="center" vertical="center"/>
      <protection hidden="1"/>
    </xf>
    <xf numFmtId="166" fontId="2" fillId="0" borderId="0" xfId="9" applyNumberFormat="1" applyFont="1" applyFill="1" applyAlignment="1" applyProtection="1">
      <alignment horizontal="center" vertical="center"/>
      <protection hidden="1"/>
    </xf>
    <xf numFmtId="0" fontId="16" fillId="0" borderId="0" xfId="9" applyFont="1" applyAlignment="1" applyProtection="1">
      <alignment vertical="center"/>
      <protection hidden="1"/>
    </xf>
    <xf numFmtId="0" fontId="2" fillId="0" borderId="0" xfId="9" applyFont="1" applyAlignment="1" applyProtection="1">
      <alignment vertical="center"/>
      <protection hidden="1"/>
    </xf>
    <xf numFmtId="170" fontId="2" fillId="0" borderId="0" xfId="9" applyNumberFormat="1" applyFont="1" applyAlignment="1" applyProtection="1">
      <alignment vertical="center"/>
      <protection hidden="1"/>
    </xf>
    <xf numFmtId="0" fontId="77" fillId="0" borderId="0" xfId="9" applyFont="1" applyAlignment="1" applyProtection="1">
      <alignment vertical="center"/>
      <protection hidden="1"/>
    </xf>
    <xf numFmtId="0" fontId="2" fillId="0" borderId="0" xfId="9" applyFont="1" applyFill="1" applyBorder="1" applyAlignment="1" applyProtection="1">
      <alignment vertical="center"/>
      <protection hidden="1"/>
    </xf>
    <xf numFmtId="170" fontId="2" fillId="0" borderId="0" xfId="9" applyNumberFormat="1" applyFont="1" applyFill="1" applyBorder="1" applyAlignment="1" applyProtection="1">
      <alignment vertical="center"/>
      <protection hidden="1"/>
    </xf>
    <xf numFmtId="167" fontId="2" fillId="0" borderId="0" xfId="9" applyNumberFormat="1" applyFont="1" applyFill="1" applyBorder="1" applyAlignment="1" applyProtection="1">
      <alignment vertical="center"/>
      <protection hidden="1"/>
    </xf>
    <xf numFmtId="0" fontId="78" fillId="0" borderId="0" xfId="9" applyFont="1" applyAlignment="1" applyProtection="1">
      <alignment vertical="center"/>
      <protection hidden="1"/>
    </xf>
    <xf numFmtId="0" fontId="2" fillId="0" borderId="0" xfId="9" applyFont="1" applyAlignment="1" applyProtection="1">
      <alignment horizontal="left" vertical="center"/>
      <protection hidden="1"/>
    </xf>
    <xf numFmtId="0" fontId="66" fillId="0" borderId="0" xfId="9" applyFont="1" applyAlignment="1" applyProtection="1">
      <alignment vertical="center"/>
      <protection hidden="1"/>
    </xf>
    <xf numFmtId="3" fontId="2" fillId="0" borderId="0" xfId="9" applyNumberFormat="1" applyFont="1" applyAlignment="1" applyProtection="1">
      <alignment vertical="center"/>
      <protection hidden="1"/>
    </xf>
    <xf numFmtId="0" fontId="80" fillId="0" borderId="0" xfId="9" applyFont="1" applyAlignment="1" applyProtection="1">
      <alignment vertical="center"/>
      <protection hidden="1"/>
    </xf>
    <xf numFmtId="0" fontId="79" fillId="0" borderId="0" xfId="9" applyFont="1" applyAlignment="1" applyProtection="1">
      <alignment vertical="center"/>
      <protection hidden="1"/>
    </xf>
    <xf numFmtId="0" fontId="74" fillId="0" borderId="0" xfId="9" applyFont="1" applyFill="1" applyAlignment="1" applyProtection="1">
      <alignment vertical="center" wrapText="1"/>
      <protection hidden="1"/>
    </xf>
    <xf numFmtId="0" fontId="2" fillId="0" borderId="0" xfId="9" applyFont="1" applyFill="1" applyAlignment="1" applyProtection="1">
      <alignment vertical="center" wrapText="1"/>
      <protection hidden="1"/>
    </xf>
    <xf numFmtId="166" fontId="1" fillId="3" borderId="0" xfId="11" applyNumberFormat="1" applyFont="1" applyFill="1" applyBorder="1" applyProtection="1">
      <protection hidden="1"/>
    </xf>
    <xf numFmtId="169" fontId="1" fillId="3" borderId="0" xfId="11" applyNumberFormat="1" applyFont="1" applyFill="1" applyProtection="1">
      <protection hidden="1"/>
    </xf>
    <xf numFmtId="169" fontId="81" fillId="0" borderId="0" xfId="9" applyNumberFormat="1" applyFont="1" applyFill="1" applyAlignment="1" applyProtection="1">
      <alignment horizontal="center" vertical="center"/>
      <protection hidden="1"/>
    </xf>
    <xf numFmtId="166" fontId="81" fillId="0" borderId="0" xfId="9" applyNumberFormat="1" applyFont="1" applyFill="1" applyAlignment="1" applyProtection="1">
      <alignment horizontal="center" vertical="center"/>
      <protection hidden="1"/>
    </xf>
    <xf numFmtId="0" fontId="81" fillId="0" borderId="0" xfId="9" applyFont="1" applyFill="1" applyAlignment="1" applyProtection="1">
      <alignment horizontal="center" vertical="center"/>
      <protection hidden="1"/>
    </xf>
    <xf numFmtId="166" fontId="2" fillId="0" borderId="0" xfId="9" applyNumberFormat="1" applyFont="1" applyAlignment="1" applyProtection="1">
      <alignment vertical="center"/>
      <protection hidden="1"/>
    </xf>
    <xf numFmtId="166" fontId="2" fillId="0" borderId="0" xfId="9" applyNumberFormat="1" applyFont="1" applyFill="1" applyBorder="1" applyAlignment="1" applyProtection="1">
      <alignment vertical="center"/>
      <protection hidden="1"/>
    </xf>
    <xf numFmtId="0" fontId="2" fillId="0" borderId="0" xfId="9" applyFont="1" applyProtection="1">
      <protection hidden="1"/>
    </xf>
    <xf numFmtId="166" fontId="2" fillId="0" borderId="0" xfId="9" applyNumberFormat="1" applyFont="1" applyProtection="1">
      <protection hidden="1"/>
    </xf>
    <xf numFmtId="166" fontId="2" fillId="0" borderId="0" xfId="9" applyNumberFormat="1" applyFont="1" applyFill="1" applyBorder="1" applyProtection="1">
      <protection hidden="1"/>
    </xf>
    <xf numFmtId="170" fontId="2" fillId="0" borderId="0" xfId="9" applyNumberFormat="1" applyFont="1" applyProtection="1">
      <protection hidden="1"/>
    </xf>
    <xf numFmtId="166" fontId="81" fillId="0" borderId="0" xfId="9" applyNumberFormat="1" applyFont="1" applyFill="1" applyAlignment="1" applyProtection="1">
      <alignment horizontal="center" vertical="center" wrapText="1"/>
      <protection hidden="1"/>
    </xf>
    <xf numFmtId="0" fontId="83" fillId="0" borderId="0" xfId="9" applyFont="1" applyFill="1" applyAlignment="1" applyProtection="1">
      <alignment horizontal="centerContinuous" vertical="center" wrapText="1"/>
      <protection hidden="1"/>
    </xf>
    <xf numFmtId="166" fontId="84" fillId="0" borderId="0" xfId="9" applyNumberFormat="1" applyFont="1" applyFill="1" applyAlignment="1" applyProtection="1">
      <alignment horizontal="centerContinuous" vertical="center" wrapText="1"/>
      <protection hidden="1"/>
    </xf>
    <xf numFmtId="166" fontId="84" fillId="0" borderId="0" xfId="9" applyNumberFormat="1" applyFont="1" applyFill="1" applyBorder="1" applyAlignment="1" applyProtection="1">
      <alignment horizontal="centerContinuous" vertical="center" wrapText="1"/>
      <protection hidden="1"/>
    </xf>
    <xf numFmtId="170" fontId="84" fillId="0" borderId="0" xfId="9" applyNumberFormat="1" applyFont="1" applyFill="1" applyAlignment="1" applyProtection="1">
      <alignment horizontal="centerContinuous" vertical="center" wrapText="1"/>
      <protection hidden="1"/>
    </xf>
    <xf numFmtId="166" fontId="13" fillId="0" borderId="0" xfId="9" applyNumberFormat="1" applyFont="1" applyFill="1" applyBorder="1" applyAlignment="1" applyProtection="1">
      <alignment horizontal="left" vertical="center"/>
      <protection hidden="1"/>
    </xf>
    <xf numFmtId="0" fontId="2" fillId="0" borderId="0" xfId="9" applyFont="1" applyBorder="1" applyAlignment="1" applyProtection="1">
      <alignment vertical="center" wrapText="1"/>
      <protection hidden="1"/>
    </xf>
    <xf numFmtId="0" fontId="85" fillId="0" borderId="0" xfId="9" applyFont="1" applyAlignment="1" applyProtection="1">
      <alignment horizontal="centerContinuous" vertical="center" wrapText="1"/>
      <protection hidden="1"/>
    </xf>
    <xf numFmtId="166" fontId="76" fillId="0" borderId="0" xfId="9" applyNumberFormat="1" applyFont="1" applyBorder="1" applyAlignment="1" applyProtection="1">
      <alignment horizontal="center" vertical="center"/>
      <protection hidden="1"/>
    </xf>
    <xf numFmtId="170" fontId="76" fillId="0" borderId="0" xfId="9" applyNumberFormat="1" applyFont="1" applyBorder="1" applyAlignment="1" applyProtection="1">
      <alignment horizontal="center" vertical="center"/>
      <protection hidden="1"/>
    </xf>
    <xf numFmtId="170" fontId="2" fillId="0" borderId="0" xfId="9" applyNumberFormat="1" applyFont="1" applyFill="1" applyBorder="1" applyAlignment="1" applyProtection="1">
      <alignment vertical="center"/>
      <protection locked="0"/>
    </xf>
    <xf numFmtId="166" fontId="86" fillId="0" borderId="0" xfId="9" applyNumberFormat="1" applyFont="1" applyFill="1" applyAlignment="1" applyProtection="1">
      <alignment horizontal="center" vertical="center"/>
      <protection hidden="1"/>
    </xf>
    <xf numFmtId="0" fontId="14" fillId="0" borderId="0" xfId="9" applyFont="1" applyAlignment="1" applyProtection="1">
      <alignment vertical="center"/>
      <protection hidden="1"/>
    </xf>
    <xf numFmtId="170" fontId="12" fillId="0" borderId="0" xfId="9" applyNumberFormat="1" applyFont="1" applyFill="1" applyBorder="1" applyAlignment="1" applyProtection="1">
      <alignment vertical="center"/>
      <protection hidden="1"/>
    </xf>
    <xf numFmtId="166" fontId="82" fillId="0" borderId="0" xfId="9" applyNumberFormat="1" applyFont="1" applyFill="1" applyAlignment="1" applyProtection="1">
      <alignment horizontal="center" vertical="center"/>
      <protection hidden="1"/>
    </xf>
    <xf numFmtId="0" fontId="5" fillId="0" borderId="0" xfId="9" applyFont="1" applyAlignment="1" applyProtection="1">
      <alignment vertical="center"/>
      <protection hidden="1"/>
    </xf>
    <xf numFmtId="170" fontId="14" fillId="0" borderId="0" xfId="9" applyNumberFormat="1" applyFont="1" applyFill="1" applyBorder="1" applyAlignment="1" applyProtection="1">
      <alignment vertical="center"/>
      <protection hidden="1"/>
    </xf>
    <xf numFmtId="170" fontId="14" fillId="0" borderId="0" xfId="9" applyNumberFormat="1" applyFont="1" applyAlignment="1" applyProtection="1">
      <alignment vertical="center"/>
      <protection hidden="1"/>
    </xf>
    <xf numFmtId="166" fontId="87" fillId="0" borderId="0" xfId="9" applyNumberFormat="1" applyFont="1" applyFill="1" applyAlignment="1" applyProtection="1">
      <alignment horizontal="center" vertical="center"/>
      <protection hidden="1"/>
    </xf>
    <xf numFmtId="0" fontId="12" fillId="0" borderId="0" xfId="9" applyFont="1" applyAlignment="1" applyProtection="1">
      <alignment vertical="center"/>
      <protection hidden="1"/>
    </xf>
    <xf numFmtId="170" fontId="12" fillId="0" borderId="0" xfId="9" applyNumberFormat="1" applyFont="1" applyAlignment="1" applyProtection="1">
      <alignment vertical="center"/>
      <protection hidden="1"/>
    </xf>
    <xf numFmtId="170" fontId="5" fillId="0" borderId="0" xfId="9" applyNumberFormat="1" applyFont="1" applyFill="1" applyBorder="1" applyAlignment="1" applyProtection="1">
      <alignment vertical="center"/>
      <protection hidden="1"/>
    </xf>
    <xf numFmtId="0" fontId="81" fillId="0" borderId="0" xfId="9" applyFont="1" applyProtection="1">
      <protection hidden="1"/>
    </xf>
    <xf numFmtId="167" fontId="2" fillId="0" borderId="0" xfId="9" applyNumberFormat="1" applyFont="1" applyProtection="1">
      <protection hidden="1"/>
    </xf>
    <xf numFmtId="0" fontId="88" fillId="0" borderId="0" xfId="9" applyFont="1" applyProtection="1">
      <protection hidden="1"/>
    </xf>
    <xf numFmtId="167" fontId="11" fillId="0" borderId="0" xfId="9" applyNumberFormat="1" applyFont="1" applyProtection="1">
      <protection hidden="1"/>
    </xf>
    <xf numFmtId="166" fontId="11" fillId="0" borderId="0" xfId="9" applyNumberFormat="1" applyFont="1" applyProtection="1">
      <protection hidden="1"/>
    </xf>
    <xf numFmtId="169" fontId="2" fillId="0" borderId="0" xfId="9" applyNumberFormat="1" applyFont="1" applyFill="1" applyAlignment="1" applyProtection="1">
      <alignment horizontal="center" vertical="center"/>
      <protection hidden="1"/>
    </xf>
    <xf numFmtId="166" fontId="5" fillId="0" borderId="0" xfId="9" applyNumberFormat="1" applyFont="1" applyFill="1" applyAlignment="1" applyProtection="1">
      <alignment horizontal="center" vertical="center"/>
      <protection hidden="1"/>
    </xf>
    <xf numFmtId="0" fontId="26" fillId="3" borderId="0" xfId="8" applyFont="1" applyFill="1" applyBorder="1" applyAlignment="1" applyProtection="1">
      <alignment horizontal="left" vertical="center"/>
      <protection hidden="1"/>
    </xf>
    <xf numFmtId="0" fontId="31" fillId="3" borderId="0" xfId="0" applyFont="1" applyFill="1" applyBorder="1" applyAlignment="1" applyProtection="1">
      <alignment vertical="center"/>
      <protection hidden="1"/>
    </xf>
    <xf numFmtId="170" fontId="2" fillId="3" borderId="6" xfId="10" applyNumberFormat="1" applyFont="1" applyFill="1" applyBorder="1"/>
    <xf numFmtId="0" fontId="91" fillId="3" borderId="0" xfId="8" applyFont="1" applyFill="1" applyAlignment="1" applyProtection="1">
      <alignment horizontal="left" vertical="center"/>
      <protection hidden="1"/>
    </xf>
    <xf numFmtId="0" fontId="29" fillId="3" borderId="0" xfId="0" applyFont="1" applyFill="1" applyAlignment="1" applyProtection="1">
      <alignment horizontal="left" vertical="center" wrapText="1"/>
      <protection hidden="1"/>
    </xf>
    <xf numFmtId="0" fontId="32" fillId="3" borderId="0" xfId="0" applyFont="1" applyFill="1" applyAlignment="1" applyProtection="1">
      <alignment vertical="center"/>
      <protection hidden="1"/>
    </xf>
    <xf numFmtId="170" fontId="2" fillId="0" borderId="0" xfId="9" applyNumberFormat="1" applyFont="1" applyAlignment="1" applyProtection="1">
      <alignment vertical="center" wrapText="1"/>
      <protection hidden="1"/>
    </xf>
    <xf numFmtId="170" fontId="2" fillId="0" borderId="0" xfId="9" applyNumberFormat="1" applyFont="1" applyBorder="1" applyAlignment="1" applyProtection="1">
      <alignment vertical="center" wrapText="1"/>
      <protection hidden="1"/>
    </xf>
    <xf numFmtId="170" fontId="2" fillId="3" borderId="0" xfId="9" applyNumberFormat="1" applyFont="1" applyFill="1" applyBorder="1" applyAlignment="1" applyProtection="1">
      <alignment vertical="center"/>
      <protection locked="0"/>
    </xf>
    <xf numFmtId="170" fontId="2" fillId="3" borderId="0" xfId="9" applyNumberFormat="1" applyFont="1" applyFill="1" applyBorder="1" applyAlignment="1" applyProtection="1">
      <alignment vertical="center"/>
      <protection hidden="1"/>
    </xf>
    <xf numFmtId="170" fontId="2" fillId="4" borderId="6" xfId="9" applyNumberFormat="1" applyFont="1" applyFill="1" applyBorder="1" applyAlignment="1" applyProtection="1">
      <alignment vertical="center"/>
      <protection locked="0"/>
    </xf>
    <xf numFmtId="170" fontId="5" fillId="0" borderId="0" xfId="9" applyNumberFormat="1" applyFont="1" applyBorder="1" applyAlignment="1" applyProtection="1">
      <alignment vertical="center"/>
      <protection hidden="1"/>
    </xf>
    <xf numFmtId="170" fontId="79" fillId="0" borderId="0" xfId="9" applyNumberFormat="1" applyFont="1" applyFill="1" applyBorder="1" applyAlignment="1" applyProtection="1">
      <alignment vertical="center"/>
      <protection hidden="1"/>
    </xf>
    <xf numFmtId="170" fontId="2" fillId="0" borderId="6" xfId="9" applyNumberFormat="1" applyFont="1" applyBorder="1" applyAlignment="1" applyProtection="1">
      <alignment vertical="center" wrapText="1"/>
      <protection hidden="1"/>
    </xf>
    <xf numFmtId="170" fontId="2" fillId="0" borderId="0" xfId="9" applyNumberFormat="1" applyFont="1" applyFill="1" applyAlignment="1" applyProtection="1">
      <alignment vertical="center"/>
      <protection hidden="1"/>
    </xf>
    <xf numFmtId="170" fontId="61" fillId="0" borderId="0" xfId="9" applyNumberFormat="1" applyFont="1" applyFill="1" applyBorder="1" applyAlignment="1" applyProtection="1">
      <alignment vertical="center"/>
      <protection hidden="1"/>
    </xf>
    <xf numFmtId="170" fontId="2" fillId="0" borderId="6" xfId="9" applyNumberFormat="1" applyFont="1" applyFill="1" applyBorder="1" applyAlignment="1" applyProtection="1">
      <alignment vertical="center"/>
      <protection locked="0"/>
    </xf>
    <xf numFmtId="170" fontId="5" fillId="0" borderId="9" xfId="9" applyNumberFormat="1" applyFont="1" applyFill="1" applyBorder="1" applyAlignment="1" applyProtection="1">
      <alignment vertical="center"/>
      <protection hidden="1"/>
    </xf>
    <xf numFmtId="170" fontId="2" fillId="4" borderId="0" xfId="9" applyNumberFormat="1" applyFont="1" applyFill="1" applyBorder="1" applyAlignment="1" applyProtection="1">
      <alignment vertical="center"/>
      <protection locked="0"/>
    </xf>
    <xf numFmtId="176" fontId="5" fillId="3" borderId="0" xfId="12" applyNumberFormat="1" applyFont="1" applyFill="1" applyBorder="1" applyAlignment="1">
      <alignment horizontal="center"/>
    </xf>
    <xf numFmtId="0" fontId="41" fillId="0" borderId="0" xfId="0" applyFont="1" applyFill="1" applyAlignment="1" applyProtection="1">
      <alignment horizontal="left" vertical="center" wrapText="1"/>
      <protection hidden="1"/>
    </xf>
    <xf numFmtId="0" fontId="71" fillId="3" borderId="0" xfId="13" applyFont="1" applyFill="1" applyBorder="1" applyAlignment="1" applyProtection="1">
      <alignment vertical="center"/>
    </xf>
    <xf numFmtId="4" fontId="1" fillId="3" borderId="0" xfId="0" applyNumberFormat="1" applyFont="1" applyFill="1" applyBorder="1" applyAlignment="1" applyProtection="1">
      <alignment horizontal="center"/>
      <protection hidden="1"/>
    </xf>
    <xf numFmtId="170" fontId="5" fillId="3" borderId="10" xfId="10" applyNumberFormat="1" applyFont="1" applyFill="1" applyBorder="1"/>
    <xf numFmtId="170" fontId="5" fillId="0" borderId="11" xfId="9" applyNumberFormat="1" applyFont="1" applyBorder="1" applyAlignment="1" applyProtection="1">
      <alignment vertical="center"/>
      <protection hidden="1"/>
    </xf>
    <xf numFmtId="170" fontId="5" fillId="0" borderId="6" xfId="9" applyNumberFormat="1" applyFont="1" applyBorder="1" applyAlignment="1" applyProtection="1">
      <alignment vertical="center"/>
      <protection hidden="1"/>
    </xf>
    <xf numFmtId="170" fontId="5" fillId="0" borderId="2" xfId="9" applyNumberFormat="1" applyFont="1" applyFill="1" applyBorder="1" applyAlignment="1" applyProtection="1">
      <alignment vertical="center"/>
      <protection hidden="1"/>
    </xf>
    <xf numFmtId="170" fontId="2" fillId="0" borderId="6" xfId="9" applyNumberFormat="1" applyFont="1" applyFill="1" applyBorder="1" applyAlignment="1" applyProtection="1">
      <alignment vertical="center"/>
      <protection hidden="1"/>
    </xf>
    <xf numFmtId="170" fontId="12" fillId="0" borderId="2" xfId="9" applyNumberFormat="1" applyFont="1" applyFill="1" applyBorder="1" applyAlignment="1" applyProtection="1">
      <alignment vertical="center"/>
      <protection hidden="1"/>
    </xf>
    <xf numFmtId="0" fontId="32" fillId="3" borderId="0" xfId="0" applyFont="1" applyFill="1" applyAlignment="1" applyProtection="1">
      <alignment horizontal="center" vertical="center"/>
      <protection hidden="1"/>
    </xf>
    <xf numFmtId="0" fontId="22" fillId="3" borderId="0" xfId="0" applyFont="1" applyFill="1" applyProtection="1">
      <protection hidden="1"/>
    </xf>
    <xf numFmtId="0" fontId="14" fillId="3" borderId="0" xfId="13" applyFont="1" applyFill="1" applyBorder="1" applyAlignment="1" applyProtection="1">
      <alignment vertical="center"/>
    </xf>
    <xf numFmtId="0" fontId="93" fillId="0" borderId="0" xfId="0" applyFont="1" applyFill="1" applyAlignment="1" applyProtection="1">
      <alignment horizontal="left" wrapText="1"/>
      <protection hidden="1"/>
    </xf>
    <xf numFmtId="0" fontId="29" fillId="0" borderId="0" xfId="0" applyFont="1" applyFill="1" applyAlignment="1" applyProtection="1">
      <alignment horizontal="center" vertical="center"/>
      <protection hidden="1"/>
    </xf>
    <xf numFmtId="0" fontId="34" fillId="0" borderId="0" xfId="0" applyFont="1" applyFill="1" applyAlignment="1" applyProtection="1">
      <alignment vertical="center"/>
      <protection hidden="1"/>
    </xf>
    <xf numFmtId="0" fontId="39" fillId="0" borderId="0" xfId="13" applyFont="1" applyFill="1" applyBorder="1" applyAlignment="1" applyProtection="1">
      <alignment horizontal="left" vertical="center"/>
    </xf>
    <xf numFmtId="0" fontId="92" fillId="0" borderId="0" xfId="13" applyFont="1" applyFill="1" applyBorder="1" applyAlignment="1" applyProtection="1">
      <alignment vertical="center"/>
    </xf>
    <xf numFmtId="0" fontId="1" fillId="3" borderId="0" xfId="0" applyFont="1" applyFill="1" applyBorder="1" applyAlignment="1" applyProtection="1">
      <alignment horizontal="center"/>
      <protection hidden="1"/>
    </xf>
    <xf numFmtId="177" fontId="44" fillId="3" borderId="0" xfId="13" applyNumberFormat="1" applyFont="1" applyFill="1" applyBorder="1" applyAlignment="1" applyProtection="1">
      <alignment vertical="center"/>
    </xf>
    <xf numFmtId="0" fontId="19" fillId="3" borderId="15" xfId="13" applyFont="1" applyFill="1" applyBorder="1" applyAlignment="1" applyProtection="1">
      <alignment vertical="center"/>
    </xf>
    <xf numFmtId="0" fontId="14" fillId="3" borderId="0" xfId="13" applyFont="1" applyFill="1" applyBorder="1" applyAlignment="1" applyProtection="1">
      <alignment horizontal="left" vertical="center" wrapText="1"/>
    </xf>
    <xf numFmtId="0" fontId="71" fillId="3" borderId="0" xfId="13" applyFont="1" applyFill="1" applyBorder="1" applyAlignment="1" applyProtection="1">
      <alignment horizontal="left" vertical="center" wrapText="1"/>
    </xf>
    <xf numFmtId="166" fontId="71" fillId="3" borderId="0" xfId="13" applyNumberFormat="1" applyFont="1" applyFill="1" applyBorder="1" applyAlignment="1" applyProtection="1">
      <alignment horizontal="right" vertical="center"/>
      <protection locked="0"/>
    </xf>
    <xf numFmtId="177" fontId="39" fillId="3" borderId="0" xfId="13" applyNumberFormat="1" applyFont="1" applyFill="1" applyBorder="1" applyAlignment="1" applyProtection="1">
      <alignment horizontal="right" vertical="center"/>
    </xf>
    <xf numFmtId="177" fontId="44" fillId="3" borderId="0" xfId="13" applyNumberFormat="1" applyFont="1" applyFill="1" applyBorder="1" applyAlignment="1" applyProtection="1">
      <alignment horizontal="right" vertical="center"/>
    </xf>
    <xf numFmtId="177" fontId="14" fillId="3" borderId="0" xfId="13" applyNumberFormat="1" applyFont="1" applyFill="1" applyBorder="1" applyAlignment="1" applyProtection="1">
      <alignment horizontal="right" vertical="center"/>
    </xf>
    <xf numFmtId="177" fontId="44" fillId="3" borderId="0" xfId="13" applyNumberFormat="1" applyFont="1" applyFill="1" applyBorder="1" applyAlignment="1" applyProtection="1">
      <alignment horizontal="right" vertical="center"/>
      <protection locked="0"/>
    </xf>
    <xf numFmtId="177" fontId="44" fillId="3" borderId="6" xfId="13" applyNumberFormat="1" applyFont="1" applyFill="1" applyBorder="1" applyAlignment="1" applyProtection="1">
      <alignment horizontal="right" vertical="center"/>
    </xf>
    <xf numFmtId="177" fontId="71" fillId="3" borderId="0" xfId="13" applyNumberFormat="1" applyFont="1" applyFill="1" applyBorder="1" applyAlignment="1" applyProtection="1">
      <alignment horizontal="right" vertical="center"/>
    </xf>
    <xf numFmtId="177" fontId="14" fillId="3" borderId="15" xfId="13" applyNumberFormat="1" applyFont="1" applyFill="1" applyBorder="1" applyAlignment="1" applyProtection="1">
      <alignment horizontal="right" vertical="center"/>
    </xf>
    <xf numFmtId="177" fontId="14" fillId="3" borderId="0" xfId="13" applyNumberFormat="1" applyFont="1" applyFill="1" applyBorder="1" applyAlignment="1" applyProtection="1">
      <alignment vertical="center"/>
    </xf>
    <xf numFmtId="0" fontId="19" fillId="3" borderId="0" xfId="13" applyFont="1" applyFill="1" applyBorder="1" applyAlignment="1" applyProtection="1">
      <alignment horizontal="center" vertical="center" wrapText="1"/>
    </xf>
    <xf numFmtId="0" fontId="70" fillId="3" borderId="0" xfId="13" applyFont="1" applyFill="1" applyBorder="1" applyAlignment="1" applyProtection="1">
      <alignment horizontal="center" vertical="center" wrapText="1"/>
    </xf>
    <xf numFmtId="0" fontId="39" fillId="0" borderId="0" xfId="13" applyFont="1" applyFill="1" applyBorder="1" applyAlignment="1" applyProtection="1">
      <alignment horizontal="center" vertical="center" wrapText="1"/>
    </xf>
    <xf numFmtId="0" fontId="43" fillId="3" borderId="0" xfId="13" applyFont="1" applyFill="1" applyBorder="1" applyAlignment="1" applyProtection="1">
      <alignment horizontal="center" vertical="center" wrapText="1"/>
    </xf>
    <xf numFmtId="0" fontId="34" fillId="5" borderId="0" xfId="0" applyFont="1" applyFill="1" applyAlignment="1" applyProtection="1">
      <alignment vertical="center"/>
      <protection hidden="1"/>
    </xf>
    <xf numFmtId="0" fontId="1" fillId="3" borderId="0" xfId="0" applyFont="1" applyFill="1" applyBorder="1" applyProtection="1">
      <protection hidden="1"/>
    </xf>
    <xf numFmtId="0" fontId="22" fillId="3" borderId="0" xfId="0" applyFont="1" applyFill="1" applyBorder="1" applyAlignment="1" applyProtection="1">
      <alignment horizontal="center"/>
      <protection hidden="1"/>
    </xf>
    <xf numFmtId="0" fontId="52" fillId="3" borderId="0" xfId="0" applyFont="1" applyFill="1" applyBorder="1" applyProtection="1">
      <protection hidden="1"/>
    </xf>
    <xf numFmtId="0" fontId="52" fillId="0" borderId="0" xfId="0" applyFont="1" applyFill="1" applyBorder="1" applyProtection="1">
      <protection hidden="1"/>
    </xf>
    <xf numFmtId="0" fontId="55" fillId="0" borderId="0" xfId="0" applyFont="1" applyFill="1" applyAlignment="1" applyProtection="1">
      <alignment vertical="center"/>
      <protection hidden="1"/>
    </xf>
    <xf numFmtId="0" fontId="21" fillId="0" borderId="0" xfId="0" applyFont="1" applyFill="1" applyAlignment="1" applyProtection="1">
      <alignment horizontal="left" vertical="center" wrapText="1"/>
      <protection hidden="1"/>
    </xf>
    <xf numFmtId="0" fontId="94" fillId="0" borderId="0" xfId="0" applyFont="1" applyFill="1" applyAlignment="1" applyProtection="1">
      <protection hidden="1"/>
    </xf>
    <xf numFmtId="0" fontId="94" fillId="0" borderId="0" xfId="0" applyFont="1" applyFill="1" applyAlignment="1" applyProtection="1">
      <alignment vertical="center"/>
      <protection hidden="1"/>
    </xf>
    <xf numFmtId="0" fontId="41" fillId="0" borderId="0" xfId="0" applyFont="1" applyFill="1" applyBorder="1" applyAlignment="1" applyProtection="1">
      <alignment horizontal="left" vertical="center" wrapText="1"/>
      <protection hidden="1"/>
    </xf>
    <xf numFmtId="0" fontId="0" fillId="0" borderId="0" xfId="0" applyBorder="1"/>
    <xf numFmtId="0" fontId="95" fillId="0" borderId="0" xfId="0" applyFont="1" applyFill="1" applyAlignment="1" applyProtection="1">
      <alignment vertical="center"/>
      <protection hidden="1"/>
    </xf>
    <xf numFmtId="0" fontId="96" fillId="3" borderId="0" xfId="0" applyFont="1" applyFill="1" applyAlignment="1" applyProtection="1">
      <alignment horizontal="center" vertical="center"/>
      <protection hidden="1"/>
    </xf>
    <xf numFmtId="0" fontId="97" fillId="0" borderId="0" xfId="0" applyFont="1"/>
    <xf numFmtId="0" fontId="99" fillId="3" borderId="0" xfId="0" applyFont="1" applyFill="1" applyBorder="1" applyAlignment="1" applyProtection="1">
      <alignment vertical="center"/>
      <protection hidden="1"/>
    </xf>
    <xf numFmtId="0" fontId="98" fillId="3" borderId="0" xfId="0" applyFont="1" applyFill="1" applyBorder="1" applyProtection="1">
      <protection hidden="1"/>
    </xf>
    <xf numFmtId="0" fontId="100" fillId="3" borderId="0" xfId="0" applyFont="1" applyFill="1" applyBorder="1" applyProtection="1">
      <protection hidden="1"/>
    </xf>
    <xf numFmtId="0" fontId="98" fillId="3" borderId="0" xfId="0" applyFont="1" applyFill="1" applyBorder="1" applyAlignment="1" applyProtection="1">
      <alignment horizontal="center"/>
      <protection hidden="1"/>
    </xf>
    <xf numFmtId="3" fontId="5" fillId="0" borderId="0" xfId="0" applyNumberFormat="1" applyFont="1" applyFill="1" applyAlignment="1" applyProtection="1">
      <alignment horizontal="left" vertical="center" wrapText="1"/>
      <protection hidden="1"/>
    </xf>
    <xf numFmtId="0" fontId="5" fillId="0"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1" fillId="3" borderId="0" xfId="0" applyFont="1" applyFill="1" applyAlignment="1" applyProtection="1">
      <alignment horizontal="left" vertical="center" wrapText="1"/>
      <protection hidden="1"/>
    </xf>
    <xf numFmtId="0" fontId="5" fillId="3" borderId="0" xfId="0" applyFont="1" applyFill="1" applyAlignment="1" applyProtection="1">
      <alignment horizontal="center" vertical="center" wrapText="1"/>
      <protection hidden="1"/>
    </xf>
    <xf numFmtId="0" fontId="60" fillId="3" borderId="0" xfId="0" applyFont="1" applyFill="1" applyAlignment="1" applyProtection="1">
      <alignment horizontal="center" vertical="center" wrapText="1"/>
      <protection hidden="1"/>
    </xf>
    <xf numFmtId="166" fontId="5" fillId="3" borderId="0" xfId="0" applyNumberFormat="1" applyFont="1" applyFill="1" applyBorder="1" applyAlignment="1" applyProtection="1">
      <alignment horizontal="center" vertical="center"/>
      <protection hidden="1"/>
    </xf>
    <xf numFmtId="0" fontId="60" fillId="3" borderId="0" xfId="0" applyFont="1" applyFill="1" applyAlignment="1" applyProtection="1">
      <alignment horizontal="centerContinuous" vertical="center" wrapText="1"/>
      <protection hidden="1"/>
    </xf>
    <xf numFmtId="0" fontId="2" fillId="3" borderId="0" xfId="0" applyFont="1" applyFill="1" applyAlignment="1" applyProtection="1">
      <alignment horizontal="right" vertical="center"/>
      <protection hidden="1"/>
    </xf>
    <xf numFmtId="0" fontId="2" fillId="3" borderId="0" xfId="0" applyFont="1" applyFill="1" applyBorder="1" applyAlignment="1" applyProtection="1">
      <alignment horizontal="right" vertical="center"/>
      <protection hidden="1"/>
    </xf>
    <xf numFmtId="170" fontId="5" fillId="3" borderId="0" xfId="0" applyNumberFormat="1" applyFont="1" applyFill="1" applyAlignment="1" applyProtection="1">
      <alignment horizontal="right" vertical="center"/>
      <protection hidden="1"/>
    </xf>
    <xf numFmtId="167" fontId="2" fillId="3" borderId="0" xfId="0" applyNumberFormat="1" applyFont="1" applyFill="1" applyAlignment="1" applyProtection="1">
      <alignment horizontal="right" vertical="center"/>
      <protection hidden="1"/>
    </xf>
    <xf numFmtId="0" fontId="5" fillId="3" borderId="0" xfId="0" applyFont="1" applyFill="1" applyBorder="1" applyAlignment="1" applyProtection="1">
      <alignment horizontal="right" vertical="center"/>
      <protection hidden="1"/>
    </xf>
    <xf numFmtId="0" fontId="2" fillId="3" borderId="0" xfId="0" applyFont="1" applyFill="1" applyProtection="1">
      <protection hidden="1"/>
    </xf>
    <xf numFmtId="0" fontId="2" fillId="3" borderId="0" xfId="0" applyFont="1" applyFill="1" applyBorder="1" applyProtection="1">
      <protection hidden="1"/>
    </xf>
    <xf numFmtId="3" fontId="26" fillId="3" borderId="0" xfId="1" applyNumberFormat="1" applyFont="1" applyFill="1" applyAlignment="1" applyProtection="1">
      <alignment horizontal="center" vertical="center"/>
      <protection hidden="1"/>
    </xf>
    <xf numFmtId="3" fontId="41" fillId="0" borderId="0" xfId="0" applyNumberFormat="1" applyFont="1" applyFill="1" applyAlignment="1" applyProtection="1">
      <alignment horizontal="left" vertical="center" wrapText="1"/>
      <protection hidden="1"/>
    </xf>
    <xf numFmtId="3" fontId="41" fillId="3" borderId="0" xfId="0" applyNumberFormat="1" applyFont="1" applyFill="1" applyAlignment="1" applyProtection="1">
      <alignment horizontal="left" vertical="center" wrapText="1"/>
      <protection hidden="1"/>
    </xf>
    <xf numFmtId="3" fontId="41" fillId="3" borderId="0" xfId="1" applyNumberFormat="1" applyFont="1" applyFill="1" applyAlignment="1" applyProtection="1">
      <alignment horizontal="center" vertical="center" wrapText="1"/>
      <protection hidden="1"/>
    </xf>
    <xf numFmtId="3" fontId="31" fillId="3" borderId="0" xfId="1" applyNumberFormat="1" applyFont="1" applyFill="1" applyAlignment="1" applyProtection="1">
      <alignment horizontal="center" vertical="center"/>
      <protection hidden="1"/>
    </xf>
    <xf numFmtId="3" fontId="0" fillId="0" borderId="0" xfId="0" applyNumberFormat="1"/>
    <xf numFmtId="3" fontId="57" fillId="3" borderId="0" xfId="1" applyNumberFormat="1" applyFont="1" applyFill="1" applyBorder="1" applyAlignment="1" applyProtection="1">
      <alignment horizontal="center" vertical="center"/>
      <protection hidden="1"/>
    </xf>
    <xf numFmtId="3" fontId="0" fillId="3" borderId="0" xfId="1" applyNumberFormat="1" applyFont="1" applyFill="1" applyAlignment="1" applyProtection="1">
      <alignment horizontal="center"/>
      <protection hidden="1"/>
    </xf>
    <xf numFmtId="3" fontId="26" fillId="3" borderId="0" xfId="8" applyNumberFormat="1" applyFont="1" applyFill="1" applyAlignment="1" applyProtection="1">
      <alignment horizontal="center" vertical="center"/>
      <protection hidden="1"/>
    </xf>
    <xf numFmtId="3" fontId="26" fillId="3" borderId="0" xfId="8" applyNumberFormat="1" applyFont="1" applyFill="1" applyBorder="1" applyAlignment="1" applyProtection="1">
      <alignment horizontal="left" vertical="center"/>
      <protection hidden="1"/>
    </xf>
    <xf numFmtId="3" fontId="5" fillId="3" borderId="0" xfId="0" applyNumberFormat="1" applyFont="1" applyFill="1" applyAlignment="1" applyProtection="1">
      <alignment horizontal="center" vertical="center" wrapText="1"/>
      <protection hidden="1"/>
    </xf>
    <xf numFmtId="3" fontId="5" fillId="3" borderId="0" xfId="0" applyNumberFormat="1" applyFont="1" applyFill="1" applyBorder="1" applyAlignment="1" applyProtection="1">
      <alignment horizontal="center" vertical="center" wrapText="1"/>
      <protection hidden="1"/>
    </xf>
    <xf numFmtId="3" fontId="100" fillId="3" borderId="0" xfId="0" applyNumberFormat="1" applyFont="1" applyFill="1" applyBorder="1" applyAlignment="1" applyProtection="1">
      <alignment horizontal="right"/>
      <protection hidden="1"/>
    </xf>
    <xf numFmtId="3" fontId="99" fillId="3" borderId="0" xfId="0" applyNumberFormat="1" applyFont="1" applyFill="1" applyBorder="1" applyAlignment="1" applyProtection="1">
      <alignment horizontal="right" vertical="center"/>
      <protection hidden="1"/>
    </xf>
    <xf numFmtId="3" fontId="98" fillId="3" borderId="0" xfId="0" applyNumberFormat="1" applyFont="1" applyFill="1" applyBorder="1" applyAlignment="1" applyProtection="1">
      <alignment horizontal="right"/>
      <protection hidden="1"/>
    </xf>
    <xf numFmtId="3" fontId="101" fillId="3" borderId="0" xfId="0" applyNumberFormat="1" applyFont="1" applyFill="1" applyBorder="1" applyAlignment="1" applyProtection="1">
      <alignment horizontal="right"/>
      <protection hidden="1"/>
    </xf>
    <xf numFmtId="3" fontId="54" fillId="3" borderId="0" xfId="0" applyNumberFormat="1" applyFont="1" applyFill="1" applyBorder="1" applyAlignment="1" applyProtection="1">
      <alignment horizontal="right"/>
      <protection hidden="1"/>
    </xf>
    <xf numFmtId="3" fontId="55" fillId="3" borderId="0" xfId="0" applyNumberFormat="1" applyFont="1" applyFill="1" applyBorder="1" applyAlignment="1" applyProtection="1">
      <alignment horizontal="right"/>
      <protection hidden="1"/>
    </xf>
    <xf numFmtId="3" fontId="54" fillId="3" borderId="0" xfId="0" applyNumberFormat="1" applyFont="1" applyFill="1" applyBorder="1" applyAlignment="1" applyProtection="1">
      <alignment horizontal="center"/>
      <protection hidden="1"/>
    </xf>
    <xf numFmtId="3" fontId="0" fillId="3" borderId="0" xfId="0" applyNumberFormat="1" applyFill="1" applyAlignment="1" applyProtection="1">
      <alignment horizontal="center"/>
      <protection hidden="1"/>
    </xf>
    <xf numFmtId="3" fontId="0" fillId="3" borderId="0" xfId="0" applyNumberFormat="1" applyFill="1" applyBorder="1" applyProtection="1">
      <protection hidden="1"/>
    </xf>
    <xf numFmtId="169" fontId="102" fillId="3" borderId="0" xfId="0" applyNumberFormat="1" applyFont="1" applyFill="1" applyAlignment="1" applyProtection="1">
      <alignment horizontal="center" vertical="center"/>
      <protection hidden="1"/>
    </xf>
    <xf numFmtId="166" fontId="102" fillId="3" borderId="0" xfId="0" applyNumberFormat="1" applyFont="1" applyFill="1" applyAlignment="1" applyProtection="1">
      <alignment horizontal="center" vertical="center" wrapText="1"/>
      <protection hidden="1"/>
    </xf>
    <xf numFmtId="0" fontId="102" fillId="3" borderId="0" xfId="0" applyFont="1" applyFill="1" applyAlignment="1" applyProtection="1">
      <alignment vertical="center" wrapText="1"/>
      <protection hidden="1"/>
    </xf>
    <xf numFmtId="0" fontId="71" fillId="3" borderId="0" xfId="0" applyFont="1" applyFill="1" applyAlignment="1" applyProtection="1">
      <alignment vertical="center"/>
      <protection hidden="1"/>
    </xf>
    <xf numFmtId="0" fontId="103" fillId="3" borderId="0" xfId="0" applyFont="1" applyFill="1" applyAlignment="1" applyProtection="1">
      <alignment horizontal="center" vertical="center" wrapText="1"/>
      <protection hidden="1"/>
    </xf>
    <xf numFmtId="3" fontId="103" fillId="3" borderId="0" xfId="0" applyNumberFormat="1" applyFont="1" applyFill="1" applyAlignment="1" applyProtection="1">
      <alignment horizontal="center" vertical="center" wrapText="1"/>
      <protection hidden="1"/>
    </xf>
    <xf numFmtId="3" fontId="103" fillId="3" borderId="0" xfId="0" applyNumberFormat="1" applyFont="1" applyFill="1" applyBorder="1" applyAlignment="1" applyProtection="1">
      <alignment horizontal="center" vertical="center" wrapText="1"/>
      <protection hidden="1"/>
    </xf>
    <xf numFmtId="166" fontId="14" fillId="3" borderId="0" xfId="0" applyNumberFormat="1" applyFont="1" applyFill="1" applyBorder="1" applyAlignment="1" applyProtection="1">
      <alignment horizontal="left" vertical="center"/>
      <protection hidden="1"/>
    </xf>
    <xf numFmtId="0" fontId="14" fillId="0" borderId="0" xfId="0" applyFont="1" applyFill="1" applyAlignment="1" applyProtection="1">
      <alignment horizontal="center" vertical="center"/>
      <protection hidden="1"/>
    </xf>
    <xf numFmtId="0" fontId="103" fillId="3" borderId="0" xfId="0" applyFont="1" applyFill="1" applyAlignment="1" applyProtection="1">
      <alignment horizontal="centerContinuous" vertical="center" wrapText="1"/>
      <protection hidden="1"/>
    </xf>
    <xf numFmtId="3" fontId="103" fillId="3" borderId="0" xfId="0" applyNumberFormat="1" applyFont="1" applyFill="1" applyBorder="1" applyAlignment="1" applyProtection="1">
      <alignment horizontal="centerContinuous" vertical="center" wrapText="1"/>
      <protection hidden="1"/>
    </xf>
    <xf numFmtId="0" fontId="71" fillId="3" borderId="0" xfId="0" applyFont="1" applyFill="1" applyAlignment="1" applyProtection="1">
      <alignment horizontal="center" vertical="center"/>
      <protection hidden="1"/>
    </xf>
    <xf numFmtId="3" fontId="71" fillId="3" borderId="0" xfId="0" applyNumberFormat="1" applyFont="1" applyFill="1" applyAlignment="1" applyProtection="1">
      <alignment horizontal="right"/>
      <protection hidden="1"/>
    </xf>
    <xf numFmtId="3" fontId="71" fillId="3" borderId="0" xfId="0" applyNumberFormat="1" applyFont="1" applyFill="1" applyBorder="1" applyAlignment="1" applyProtection="1">
      <alignment horizontal="right" vertical="center"/>
      <protection hidden="1"/>
    </xf>
    <xf numFmtId="0" fontId="14" fillId="0" borderId="0" xfId="0" applyFont="1" applyFill="1" applyAlignment="1" applyProtection="1">
      <alignment vertical="center"/>
      <protection hidden="1"/>
    </xf>
    <xf numFmtId="0" fontId="14" fillId="0" borderId="0" xfId="0" applyFont="1" applyFill="1" applyAlignment="1" applyProtection="1">
      <alignment vertical="center" wrapText="1"/>
      <protection hidden="1"/>
    </xf>
    <xf numFmtId="3" fontId="14" fillId="3" borderId="0" xfId="0" applyNumberFormat="1" applyFont="1" applyFill="1" applyBorder="1" applyAlignment="1" applyProtection="1">
      <alignment horizontal="right" vertical="center"/>
      <protection hidden="1"/>
    </xf>
    <xf numFmtId="3" fontId="71" fillId="3" borderId="0" xfId="0" applyNumberFormat="1" applyFont="1" applyFill="1" applyBorder="1" applyAlignment="1" applyProtection="1">
      <alignment horizontal="right"/>
      <protection hidden="1"/>
    </xf>
    <xf numFmtId="3" fontId="71" fillId="3" borderId="6" xfId="0" applyNumberFormat="1" applyFont="1" applyFill="1" applyBorder="1" applyAlignment="1" applyProtection="1">
      <alignment horizontal="right" vertical="center"/>
      <protection hidden="1"/>
    </xf>
    <xf numFmtId="0" fontId="71" fillId="0" borderId="0" xfId="0" applyFont="1" applyFill="1" applyAlignment="1" applyProtection="1">
      <alignment vertical="center"/>
      <protection hidden="1"/>
    </xf>
    <xf numFmtId="3" fontId="71" fillId="3" borderId="0" xfId="0" applyNumberFormat="1" applyFont="1" applyFill="1" applyAlignment="1" applyProtection="1">
      <alignment horizontal="center" vertical="center"/>
      <protection hidden="1"/>
    </xf>
    <xf numFmtId="0" fontId="14" fillId="3" borderId="0" xfId="0" applyFont="1" applyFill="1" applyAlignment="1" applyProtection="1">
      <alignment vertical="center"/>
      <protection hidden="1"/>
    </xf>
    <xf numFmtId="170" fontId="14" fillId="3" borderId="0" xfId="0" applyNumberFormat="1" applyFont="1" applyFill="1" applyAlignment="1" applyProtection="1">
      <alignment horizontal="center" vertical="center"/>
      <protection hidden="1"/>
    </xf>
    <xf numFmtId="167" fontId="71" fillId="3" borderId="0" xfId="0" applyNumberFormat="1" applyFont="1" applyFill="1" applyAlignment="1" applyProtection="1">
      <alignment horizontal="center" vertical="center"/>
      <protection hidden="1"/>
    </xf>
    <xf numFmtId="0" fontId="14" fillId="3" borderId="0" xfId="0" applyFont="1" applyFill="1" applyAlignment="1" applyProtection="1">
      <alignment horizontal="center" vertical="center"/>
      <protection hidden="1"/>
    </xf>
    <xf numFmtId="167" fontId="71" fillId="3" borderId="0" xfId="0" applyNumberFormat="1" applyFont="1" applyFill="1" applyBorder="1" applyAlignment="1" applyProtection="1">
      <alignment horizontal="center" vertical="center"/>
      <protection hidden="1"/>
    </xf>
    <xf numFmtId="167" fontId="71" fillId="0" borderId="0" xfId="0" applyNumberFormat="1" applyFont="1" applyFill="1" applyBorder="1" applyAlignment="1" applyProtection="1">
      <alignment horizontal="center" vertical="center"/>
      <protection hidden="1"/>
    </xf>
    <xf numFmtId="3" fontId="14" fillId="3" borderId="10" xfId="0" applyNumberFormat="1" applyFont="1" applyFill="1" applyBorder="1" applyAlignment="1" applyProtection="1">
      <alignment horizontal="right" vertical="center"/>
      <protection hidden="1"/>
    </xf>
    <xf numFmtId="0" fontId="71" fillId="3" borderId="0" xfId="0" applyFont="1" applyFill="1" applyProtection="1">
      <protection hidden="1"/>
    </xf>
    <xf numFmtId="0" fontId="14" fillId="3" borderId="0" xfId="0" applyFont="1" applyFill="1" applyBorder="1" applyAlignment="1" applyProtection="1">
      <alignment vertical="center"/>
      <protection hidden="1"/>
    </xf>
    <xf numFmtId="0" fontId="71" fillId="3" borderId="0" xfId="0" applyFont="1" applyFill="1" applyBorder="1" applyProtection="1">
      <protection hidden="1"/>
    </xf>
    <xf numFmtId="4" fontId="34" fillId="3" borderId="0" xfId="1" applyNumberFormat="1" applyFont="1" applyFill="1" applyAlignment="1" applyProtection="1">
      <alignment horizontal="right"/>
      <protection hidden="1"/>
    </xf>
    <xf numFmtId="4" fontId="33" fillId="3" borderId="9" xfId="1" applyNumberFormat="1" applyFont="1" applyFill="1" applyBorder="1" applyAlignment="1" applyProtection="1">
      <alignment horizontal="right" vertical="center"/>
      <protection hidden="1"/>
    </xf>
    <xf numFmtId="4" fontId="34" fillId="3" borderId="6" xfId="1" applyNumberFormat="1" applyFont="1" applyFill="1" applyBorder="1" applyAlignment="1" applyProtection="1">
      <alignment horizontal="right"/>
      <protection hidden="1"/>
    </xf>
    <xf numFmtId="4" fontId="33" fillId="3" borderId="0" xfId="1" applyNumberFormat="1" applyFont="1" applyFill="1" applyAlignment="1" applyProtection="1">
      <alignment horizontal="right" vertical="center"/>
      <protection hidden="1"/>
    </xf>
    <xf numFmtId="4" fontId="34" fillId="3" borderId="6" xfId="1" applyNumberFormat="1" applyFont="1" applyFill="1" applyBorder="1" applyAlignment="1" applyProtection="1">
      <alignment horizontal="right" vertical="center"/>
      <protection hidden="1"/>
    </xf>
    <xf numFmtId="4" fontId="95" fillId="3" borderId="15" xfId="1" applyNumberFormat="1" applyFont="1" applyFill="1" applyBorder="1" applyAlignment="1" applyProtection="1">
      <alignment horizontal="right" vertical="center"/>
      <protection hidden="1"/>
    </xf>
    <xf numFmtId="4" fontId="22" fillId="3" borderId="0" xfId="1" applyNumberFormat="1" applyFont="1" applyFill="1" applyAlignment="1" applyProtection="1">
      <alignment horizontal="right" vertical="center"/>
      <protection hidden="1"/>
    </xf>
    <xf numFmtId="4" fontId="27" fillId="3" borderId="0" xfId="1" applyNumberFormat="1" applyFont="1" applyFill="1" applyAlignment="1" applyProtection="1">
      <alignment horizontal="right" vertical="center"/>
      <protection hidden="1"/>
    </xf>
    <xf numFmtId="4" fontId="0" fillId="0" borderId="0" xfId="0" applyNumberFormat="1"/>
    <xf numFmtId="4" fontId="33" fillId="3" borderId="0" xfId="1" applyNumberFormat="1" applyFont="1" applyFill="1" applyBorder="1" applyAlignment="1" applyProtection="1">
      <alignment horizontal="right" vertical="center"/>
      <protection hidden="1"/>
    </xf>
    <xf numFmtId="4" fontId="95" fillId="0" borderId="5" xfId="0" applyNumberFormat="1" applyFont="1" applyBorder="1"/>
    <xf numFmtId="4" fontId="71" fillId="3" borderId="0" xfId="0" applyNumberFormat="1" applyFont="1" applyFill="1" applyAlignment="1" applyProtection="1">
      <alignment horizontal="right"/>
      <protection hidden="1"/>
    </xf>
    <xf numFmtId="4" fontId="71" fillId="3" borderId="0" xfId="0" applyNumberFormat="1" applyFont="1" applyFill="1" applyBorder="1" applyAlignment="1" applyProtection="1">
      <alignment horizontal="right" vertical="center"/>
      <protection hidden="1"/>
    </xf>
    <xf numFmtId="4" fontId="71" fillId="3" borderId="6" xfId="0" applyNumberFormat="1" applyFont="1" applyFill="1" applyBorder="1" applyAlignment="1" applyProtection="1">
      <alignment horizontal="right"/>
      <protection hidden="1"/>
    </xf>
    <xf numFmtId="4" fontId="14" fillId="3" borderId="0" xfId="0" applyNumberFormat="1" applyFont="1" applyFill="1" applyAlignment="1" applyProtection="1">
      <alignment horizontal="right" vertical="center"/>
      <protection hidden="1"/>
    </xf>
    <xf numFmtId="4" fontId="14" fillId="3" borderId="11" xfId="0" applyNumberFormat="1" applyFont="1" applyFill="1" applyBorder="1" applyAlignment="1" applyProtection="1">
      <alignment horizontal="right" vertical="center"/>
      <protection hidden="1"/>
    </xf>
    <xf numFmtId="4" fontId="14" fillId="3" borderId="0" xfId="0" applyNumberFormat="1" applyFont="1" applyFill="1" applyBorder="1" applyAlignment="1" applyProtection="1">
      <alignment horizontal="right" vertical="center"/>
      <protection hidden="1"/>
    </xf>
    <xf numFmtId="4" fontId="71" fillId="3" borderId="0" xfId="0" applyNumberFormat="1" applyFont="1" applyFill="1" applyBorder="1" applyAlignment="1" applyProtection="1">
      <alignment horizontal="right"/>
      <protection hidden="1"/>
    </xf>
    <xf numFmtId="4" fontId="71" fillId="3" borderId="0" xfId="0" applyNumberFormat="1" applyFont="1" applyFill="1" applyAlignment="1" applyProtection="1">
      <alignment horizontal="right" vertical="center"/>
      <protection hidden="1"/>
    </xf>
    <xf numFmtId="4" fontId="71" fillId="3" borderId="6" xfId="0" applyNumberFormat="1" applyFont="1" applyFill="1" applyBorder="1" applyAlignment="1" applyProtection="1">
      <alignment horizontal="right" vertical="center"/>
      <protection hidden="1"/>
    </xf>
    <xf numFmtId="4" fontId="14" fillId="3" borderId="6" xfId="0" applyNumberFormat="1" applyFont="1" applyFill="1" applyBorder="1" applyAlignment="1" applyProtection="1">
      <alignment horizontal="right" vertical="center"/>
      <protection hidden="1"/>
    </xf>
    <xf numFmtId="4" fontId="14" fillId="3" borderId="15" xfId="0" applyNumberFormat="1" applyFont="1" applyFill="1" applyBorder="1" applyAlignment="1" applyProtection="1">
      <alignment horizontal="right" vertical="center"/>
      <protection hidden="1"/>
    </xf>
    <xf numFmtId="0" fontId="35" fillId="3" borderId="0" xfId="0" applyFont="1" applyFill="1" applyAlignment="1" applyProtection="1">
      <alignment horizontal="left" vertical="center" wrapText="1"/>
      <protection hidden="1"/>
    </xf>
    <xf numFmtId="170" fontId="22" fillId="3" borderId="0" xfId="0" applyNumberFormat="1" applyFont="1" applyFill="1" applyBorder="1" applyAlignment="1" applyProtection="1">
      <alignment horizontal="right" vertical="center"/>
      <protection hidden="1"/>
    </xf>
    <xf numFmtId="170" fontId="64" fillId="3" borderId="0" xfId="0" applyNumberFormat="1" applyFont="1" applyFill="1" applyBorder="1" applyAlignment="1" applyProtection="1">
      <alignment horizontal="right" vertical="center"/>
      <protection hidden="1"/>
    </xf>
    <xf numFmtId="170" fontId="31" fillId="3" borderId="0" xfId="0" applyNumberFormat="1" applyFont="1" applyFill="1" applyBorder="1" applyAlignment="1" applyProtection="1">
      <alignment horizontal="right" vertical="center"/>
      <protection hidden="1"/>
    </xf>
    <xf numFmtId="170" fontId="65" fillId="3" borderId="0" xfId="0" applyNumberFormat="1" applyFont="1" applyFill="1" applyBorder="1" applyAlignment="1" applyProtection="1">
      <alignment horizontal="right" vertical="center"/>
      <protection hidden="1"/>
    </xf>
    <xf numFmtId="170" fontId="27" fillId="3" borderId="0" xfId="0" applyNumberFormat="1" applyFont="1" applyFill="1" applyBorder="1" applyAlignment="1" applyProtection="1">
      <alignment horizontal="right" vertical="center"/>
      <protection hidden="1"/>
    </xf>
    <xf numFmtId="170" fontId="30" fillId="3" borderId="0" xfId="0" applyNumberFormat="1" applyFont="1" applyFill="1" applyBorder="1" applyAlignment="1" applyProtection="1">
      <alignment horizontal="right" vertical="center"/>
      <protection hidden="1"/>
    </xf>
    <xf numFmtId="170" fontId="54" fillId="3" borderId="0" xfId="0" applyNumberFormat="1" applyFont="1" applyFill="1" applyBorder="1" applyAlignment="1" applyProtection="1">
      <alignment horizontal="right" vertical="center"/>
      <protection hidden="1"/>
    </xf>
    <xf numFmtId="0" fontId="34" fillId="0" borderId="0" xfId="0" applyFont="1" applyFill="1" applyAlignment="1" applyProtection="1">
      <alignment vertical="center" wrapText="1"/>
      <protection hidden="1"/>
    </xf>
    <xf numFmtId="0" fontId="102" fillId="0" borderId="0" xfId="0" applyFont="1" applyAlignment="1">
      <alignment horizontal="left" vertical="center"/>
    </xf>
    <xf numFmtId="3" fontId="104" fillId="0" borderId="0" xfId="1" applyNumberFormat="1" applyFont="1" applyFill="1" applyBorder="1" applyAlignment="1" applyProtection="1">
      <alignment horizontal="right" vertical="center"/>
      <protection hidden="1"/>
    </xf>
    <xf numFmtId="14" fontId="14" fillId="3" borderId="0" xfId="0" applyNumberFormat="1" applyFont="1" applyFill="1" applyBorder="1" applyAlignment="1" applyProtection="1">
      <alignment horizontal="center" vertical="center"/>
      <protection hidden="1"/>
    </xf>
    <xf numFmtId="14" fontId="14" fillId="3" borderId="0" xfId="0" applyNumberFormat="1" applyFont="1" applyFill="1" applyBorder="1" applyAlignment="1" applyProtection="1">
      <alignment horizontal="right" vertical="center"/>
      <protection hidden="1"/>
    </xf>
    <xf numFmtId="0" fontId="41" fillId="3" borderId="0" xfId="0" applyFont="1" applyFill="1" applyAlignment="1" applyProtection="1">
      <alignment horizontal="center" vertical="center" wrapText="1"/>
      <protection hidden="1"/>
    </xf>
    <xf numFmtId="3" fontId="41" fillId="0" borderId="0" xfId="0" applyNumberFormat="1" applyFont="1" applyFill="1" applyAlignment="1" applyProtection="1">
      <alignment horizontal="left" vertical="center"/>
      <protection hidden="1"/>
    </xf>
    <xf numFmtId="0" fontId="102" fillId="0" borderId="0" xfId="0" applyFont="1" applyAlignment="1">
      <alignment horizontal="left" vertical="center"/>
    </xf>
    <xf numFmtId="0" fontId="35" fillId="3" borderId="0" xfId="0" applyFont="1" applyFill="1" applyAlignment="1" applyProtection="1">
      <alignment horizontal="left" vertical="center"/>
      <protection hidden="1"/>
    </xf>
    <xf numFmtId="0" fontId="0" fillId="0" borderId="0" xfId="0" applyAlignment="1">
      <alignment horizontal="left" vertical="center"/>
    </xf>
    <xf numFmtId="0" fontId="33" fillId="3" borderId="0" xfId="0" applyFont="1" applyFill="1" applyBorder="1" applyAlignment="1" applyProtection="1">
      <alignment wrapText="1"/>
      <protection hidden="1"/>
    </xf>
    <xf numFmtId="0" fontId="0" fillId="0" borderId="0" xfId="0" applyBorder="1" applyAlignment="1">
      <alignment wrapText="1"/>
    </xf>
    <xf numFmtId="3" fontId="5" fillId="0" borderId="0" xfId="0" applyNumberFormat="1" applyFont="1" applyFill="1" applyBorder="1" applyAlignment="1" applyProtection="1">
      <alignment horizontal="center" vertical="center" wrapText="1"/>
      <protection hidden="1"/>
    </xf>
    <xf numFmtId="3" fontId="5" fillId="3" borderId="0" xfId="0" applyNumberFormat="1" applyFont="1" applyFill="1" applyAlignment="1" applyProtection="1">
      <alignment horizontal="center" vertical="center" wrapText="1"/>
      <protection hidden="1"/>
    </xf>
    <xf numFmtId="0" fontId="72" fillId="3" borderId="0" xfId="0" applyFont="1" applyFill="1" applyAlignment="1" applyProtection="1">
      <alignment horizontal="left" vertical="center" wrapText="1"/>
      <protection hidden="1"/>
    </xf>
    <xf numFmtId="0" fontId="41" fillId="3" borderId="0" xfId="0" applyFont="1" applyFill="1" applyAlignment="1" applyProtection="1">
      <alignment horizontal="left" vertical="center" wrapText="1"/>
      <protection hidden="1"/>
    </xf>
    <xf numFmtId="0" fontId="44" fillId="0" borderId="0" xfId="13" applyFont="1" applyAlignment="1" applyProtection="1">
      <alignment horizontal="left" vertical="center" wrapText="1"/>
      <protection hidden="1"/>
    </xf>
    <xf numFmtId="0" fontId="40" fillId="0" borderId="6" xfId="13" applyFont="1" applyBorder="1" applyAlignment="1" applyProtection="1">
      <alignment horizontal="center" vertical="center" wrapText="1"/>
      <protection hidden="1"/>
    </xf>
    <xf numFmtId="0" fontId="69" fillId="0" borderId="6" xfId="0" applyFont="1" applyBorder="1" applyAlignment="1">
      <alignment horizontal="center" vertical="center" wrapText="1"/>
    </xf>
    <xf numFmtId="166" fontId="71" fillId="3" borderId="0" xfId="13" applyNumberFormat="1" applyFont="1" applyFill="1" applyBorder="1" applyAlignment="1" applyProtection="1">
      <alignment horizontal="left" vertical="center"/>
    </xf>
    <xf numFmtId="0" fontId="46" fillId="3" borderId="0" xfId="13" applyFont="1" applyFill="1" applyBorder="1" applyAlignment="1" applyProtection="1">
      <alignment horizontal="justify" vertical="center" wrapText="1"/>
    </xf>
    <xf numFmtId="0" fontId="39" fillId="3" borderId="6" xfId="13" applyFont="1" applyFill="1" applyBorder="1" applyAlignment="1" applyProtection="1">
      <alignment horizontal="center" vertical="center"/>
    </xf>
    <xf numFmtId="0" fontId="55" fillId="0" borderId="6" xfId="0" applyFont="1" applyBorder="1" applyAlignment="1">
      <alignment horizontal="center" vertical="center"/>
    </xf>
    <xf numFmtId="166" fontId="40" fillId="3" borderId="0" xfId="13" applyNumberFormat="1" applyFont="1" applyFill="1" applyAlignment="1" applyProtection="1">
      <alignment horizontal="left" vertical="center"/>
    </xf>
    <xf numFmtId="166" fontId="18" fillId="3" borderId="0" xfId="13" applyNumberFormat="1" applyFont="1" applyFill="1" applyAlignment="1" applyProtection="1">
      <alignment horizontal="left" vertical="center" wrapText="1"/>
    </xf>
    <xf numFmtId="0" fontId="0" fillId="0" borderId="0" xfId="0"/>
    <xf numFmtId="166" fontId="39" fillId="3" borderId="6" xfId="13" applyNumberFormat="1" applyFont="1" applyFill="1" applyBorder="1" applyAlignment="1" applyProtection="1">
      <alignment horizontal="center" vertical="center"/>
    </xf>
    <xf numFmtId="166" fontId="46" fillId="3" borderId="0" xfId="13" applyNumberFormat="1" applyFont="1" applyFill="1" applyAlignment="1" applyProtection="1">
      <alignment horizontal="left" vertical="center" wrapText="1"/>
    </xf>
    <xf numFmtId="14" fontId="20" fillId="3" borderId="0" xfId="13" applyNumberFormat="1" applyFont="1" applyFill="1" applyBorder="1" applyAlignment="1" applyProtection="1">
      <alignment horizontal="center" vertical="center" wrapText="1"/>
    </xf>
    <xf numFmtId="0" fontId="46" fillId="3" borderId="0" xfId="13" applyFont="1" applyFill="1" applyBorder="1" applyAlignment="1" applyProtection="1">
      <alignment horizontal="left" vertical="center"/>
    </xf>
    <xf numFmtId="0" fontId="20" fillId="3" borderId="0" xfId="13" applyFont="1" applyFill="1" applyBorder="1" applyAlignment="1" applyProtection="1">
      <alignment horizontal="left" vertical="top" wrapText="1"/>
    </xf>
    <xf numFmtId="14" fontId="39" fillId="3" borderId="6" xfId="13" applyNumberFormat="1" applyFont="1" applyFill="1" applyBorder="1" applyAlignment="1" applyProtection="1">
      <alignment horizontal="center" vertical="center" wrapText="1"/>
    </xf>
    <xf numFmtId="0" fontId="19" fillId="3" borderId="0" xfId="13" applyFont="1" applyFill="1" applyAlignment="1" applyProtection="1">
      <alignment horizontal="justify" vertical="center" wrapText="1"/>
    </xf>
    <xf numFmtId="0" fontId="53" fillId="3" borderId="6" xfId="0" applyFont="1" applyFill="1" applyBorder="1" applyAlignment="1">
      <alignment horizontal="center"/>
    </xf>
    <xf numFmtId="0" fontId="68" fillId="3" borderId="0" xfId="0" applyFont="1" applyFill="1" applyAlignment="1">
      <alignment horizontal="justify" vertical="center" wrapText="1"/>
    </xf>
    <xf numFmtId="0" fontId="63" fillId="3" borderId="0" xfId="0" applyFont="1" applyFill="1" applyAlignment="1">
      <alignment horizontal="justify" vertical="center"/>
    </xf>
    <xf numFmtId="0" fontId="49" fillId="3" borderId="0" xfId="13" applyFont="1" applyFill="1" applyBorder="1" applyAlignment="1" applyProtection="1">
      <alignment horizontal="center" vertical="center" wrapText="1"/>
    </xf>
    <xf numFmtId="166" fontId="13" fillId="3" borderId="0" xfId="9" applyNumberFormat="1" applyFont="1" applyFill="1" applyBorder="1" applyAlignment="1" applyProtection="1">
      <alignment horizontal="center" vertical="center"/>
      <protection hidden="1"/>
    </xf>
    <xf numFmtId="0" fontId="74" fillId="0" borderId="0" xfId="9" applyFont="1" applyFill="1" applyAlignment="1" applyProtection="1">
      <alignment horizontal="left" vertical="center" wrapText="1"/>
      <protection hidden="1"/>
    </xf>
    <xf numFmtId="0" fontId="6" fillId="3" borderId="0" xfId="12" applyFont="1" applyFill="1" applyAlignment="1">
      <alignment wrapText="1"/>
    </xf>
    <xf numFmtId="0" fontId="0" fillId="0" borderId="0" xfId="0" applyAlignment="1"/>
    <xf numFmtId="0" fontId="5" fillId="3" borderId="0" xfId="12" applyFont="1" applyFill="1" applyAlignment="1">
      <alignment wrapText="1"/>
    </xf>
    <xf numFmtId="0" fontId="0" fillId="0" borderId="0" xfId="0" applyAlignment="1">
      <alignment wrapText="1"/>
    </xf>
    <xf numFmtId="0" fontId="68" fillId="3" borderId="0" xfId="0" applyFont="1" applyFill="1" applyAlignment="1">
      <alignment wrapText="1"/>
    </xf>
  </cellXfs>
  <cellStyles count="18">
    <cellStyle name="Comma" xfId="1" builtinId="3"/>
    <cellStyle name="Cons" xfId="2"/>
    <cellStyle name="Double line" xfId="3"/>
    <cellStyle name="Euro" xfId="4"/>
    <cellStyle name="Heading1" xfId="5"/>
    <cellStyle name="Heading2" xfId="6"/>
    <cellStyle name="Heading3" xfId="7"/>
    <cellStyle name="Hyperlink" xfId="8" builtinId="8"/>
    <cellStyle name="Normal" xfId="0" builtinId="0"/>
    <cellStyle name="Normal_01_12_2003_T AV" xfId="9"/>
    <cellStyle name="Normal_CFS TITAN 2001" xfId="10"/>
    <cellStyle name="Normal_INTERIM REPORT 30.06.2003 (1) hpw" xfId="11"/>
    <cellStyle name="Normal_Schedule of disposals and acquisitions" xfId="12"/>
    <cellStyle name="Normal_ΑΝΑΛΥΣΕΙΣ ΙAS" xfId="13"/>
    <cellStyle name="Percent00" xfId="14"/>
    <cellStyle name="PercentCons" xfId="15"/>
    <cellStyle name="single line" xfId="16"/>
    <cellStyle name="Tab Header" xfId="17"/>
  </cellStyles>
  <dxfs count="2">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enableFormatConditionsCalculation="0">
    <tabColor indexed="19"/>
  </sheetPr>
  <dimension ref="A1:AQ338"/>
  <sheetViews>
    <sheetView showGridLines="0" zoomScale="136" zoomScaleNormal="136" zoomScaleSheetLayoutView="75" workbookViewId="0">
      <selection activeCell="E24" sqref="E24"/>
    </sheetView>
  </sheetViews>
  <sheetFormatPr defaultRowHeight="12.75"/>
  <cols>
    <col min="1" max="1" width="6.5" style="35" customWidth="1"/>
    <col min="2" max="2" width="66.6640625" style="35" customWidth="1"/>
    <col min="3" max="3" width="11.5" style="473" bestFit="1" customWidth="1"/>
    <col min="4" max="4" width="25.5" style="538" customWidth="1"/>
    <col min="5" max="5" width="15.33203125" style="249" customWidth="1"/>
    <col min="6" max="6" width="4.33203125" style="35" customWidth="1"/>
    <col min="7" max="7" width="9.33203125" style="35"/>
    <col min="8" max="8" width="16.33203125" style="35" bestFit="1" customWidth="1"/>
    <col min="9" max="16384" width="9.33203125" style="35"/>
  </cols>
  <sheetData>
    <row r="1" spans="1:43" ht="18.75">
      <c r="B1" s="36"/>
      <c r="C1" s="446"/>
      <c r="D1" s="531"/>
      <c r="E1" s="443"/>
      <c r="F1" s="36"/>
      <c r="G1"/>
      <c r="H1"/>
      <c r="I1"/>
      <c r="J1"/>
      <c r="K1"/>
      <c r="L1"/>
      <c r="M1"/>
      <c r="N1"/>
      <c r="O1"/>
      <c r="P1"/>
      <c r="Q1"/>
      <c r="R1"/>
      <c r="S1"/>
      <c r="T1"/>
      <c r="U1"/>
      <c r="V1"/>
      <c r="W1"/>
      <c r="X1"/>
      <c r="Y1"/>
      <c r="Z1"/>
      <c r="AA1"/>
      <c r="AB1"/>
      <c r="AC1"/>
      <c r="AD1"/>
      <c r="AE1"/>
      <c r="AF1"/>
      <c r="AG1"/>
      <c r="AH1"/>
      <c r="AI1"/>
      <c r="AJ1"/>
      <c r="AK1"/>
      <c r="AL1"/>
      <c r="AM1"/>
      <c r="AN1"/>
      <c r="AO1"/>
      <c r="AP1"/>
      <c r="AQ1"/>
    </row>
    <row r="2" spans="1:43" ht="20.25">
      <c r="A2" s="11"/>
      <c r="B2" s="619" t="s">
        <v>435</v>
      </c>
      <c r="C2" s="620"/>
      <c r="D2" s="532"/>
      <c r="E2" s="507"/>
      <c r="F2" s="463"/>
      <c r="G2"/>
      <c r="H2"/>
      <c r="I2"/>
      <c r="J2"/>
      <c r="K2"/>
      <c r="L2"/>
      <c r="M2"/>
      <c r="N2"/>
      <c r="O2"/>
      <c r="P2"/>
      <c r="Q2"/>
      <c r="R2"/>
      <c r="S2"/>
      <c r="T2"/>
      <c r="U2"/>
      <c r="V2"/>
      <c r="W2"/>
      <c r="X2"/>
      <c r="Y2"/>
      <c r="Z2"/>
      <c r="AA2"/>
      <c r="AB2"/>
      <c r="AC2"/>
      <c r="AD2"/>
      <c r="AE2"/>
      <c r="AF2"/>
      <c r="AG2"/>
      <c r="AH2"/>
      <c r="AI2"/>
      <c r="AJ2"/>
      <c r="AK2"/>
      <c r="AL2"/>
      <c r="AM2"/>
      <c r="AN2"/>
      <c r="AO2"/>
      <c r="AP2"/>
      <c r="AQ2"/>
    </row>
    <row r="3" spans="1:43" s="38" customFormat="1" ht="21.75" customHeight="1">
      <c r="A3" s="37"/>
      <c r="B3" s="621" t="s">
        <v>433</v>
      </c>
      <c r="C3" s="622"/>
      <c r="D3" s="622"/>
      <c r="E3" s="11"/>
      <c r="F3" s="11"/>
      <c r="G3"/>
      <c r="H3"/>
      <c r="I3"/>
      <c r="J3"/>
      <c r="K3"/>
      <c r="L3"/>
      <c r="M3"/>
      <c r="N3"/>
      <c r="O3"/>
      <c r="P3"/>
      <c r="Q3"/>
      <c r="R3"/>
      <c r="S3"/>
      <c r="T3"/>
      <c r="U3"/>
      <c r="V3"/>
      <c r="W3"/>
      <c r="X3"/>
      <c r="Y3"/>
      <c r="Z3"/>
      <c r="AA3"/>
      <c r="AB3"/>
      <c r="AC3"/>
      <c r="AD3"/>
      <c r="AE3"/>
      <c r="AF3"/>
      <c r="AG3"/>
      <c r="AH3"/>
      <c r="AI3"/>
      <c r="AJ3"/>
      <c r="AK3"/>
      <c r="AL3"/>
      <c r="AM3"/>
      <c r="AN3"/>
      <c r="AO3"/>
      <c r="AP3"/>
      <c r="AQ3"/>
    </row>
    <row r="4" spans="1:43" s="38" customFormat="1" ht="19.5" customHeight="1">
      <c r="A4" s="37"/>
      <c r="B4" s="605" t="s">
        <v>429</v>
      </c>
      <c r="C4" s="447"/>
      <c r="D4" s="618"/>
      <c r="E4" s="618"/>
      <c r="F4" s="45"/>
      <c r="G4"/>
      <c r="H4"/>
      <c r="I4"/>
      <c r="J4"/>
      <c r="K4"/>
      <c r="L4"/>
      <c r="M4"/>
      <c r="N4"/>
      <c r="O4"/>
      <c r="P4"/>
      <c r="Q4"/>
      <c r="R4"/>
      <c r="S4"/>
      <c r="T4"/>
      <c r="U4"/>
      <c r="V4"/>
      <c r="W4"/>
      <c r="X4"/>
      <c r="Y4"/>
      <c r="Z4"/>
      <c r="AA4"/>
      <c r="AB4"/>
      <c r="AC4"/>
      <c r="AD4"/>
      <c r="AE4"/>
      <c r="AF4"/>
      <c r="AG4"/>
      <c r="AH4"/>
      <c r="AI4"/>
      <c r="AJ4"/>
      <c r="AK4"/>
      <c r="AL4"/>
      <c r="AM4"/>
      <c r="AN4"/>
      <c r="AO4"/>
      <c r="AP4"/>
      <c r="AQ4"/>
    </row>
    <row r="5" spans="1:43" s="38" customFormat="1" ht="20.25" hidden="1">
      <c r="A5" s="37"/>
      <c r="B5" s="11"/>
      <c r="C5" s="447"/>
      <c r="D5" s="534"/>
      <c r="E5" s="194"/>
      <c r="F5" s="11"/>
      <c r="G5"/>
      <c r="H5"/>
      <c r="I5"/>
      <c r="J5"/>
      <c r="K5"/>
      <c r="L5"/>
      <c r="M5"/>
      <c r="N5"/>
      <c r="O5"/>
      <c r="P5"/>
      <c r="Q5"/>
      <c r="R5"/>
      <c r="S5"/>
      <c r="T5"/>
      <c r="U5"/>
      <c r="V5"/>
      <c r="W5"/>
      <c r="X5"/>
      <c r="Y5"/>
      <c r="Z5"/>
      <c r="AA5"/>
      <c r="AB5"/>
      <c r="AC5"/>
      <c r="AD5"/>
      <c r="AE5"/>
      <c r="AF5"/>
      <c r="AG5"/>
      <c r="AH5"/>
      <c r="AI5"/>
      <c r="AJ5"/>
      <c r="AK5"/>
      <c r="AL5"/>
      <c r="AM5"/>
      <c r="AN5"/>
      <c r="AO5"/>
      <c r="AP5"/>
      <c r="AQ5"/>
    </row>
    <row r="6" spans="1:43" s="38" customFormat="1" ht="35.25" customHeight="1">
      <c r="A6" s="37"/>
      <c r="B6" s="11"/>
      <c r="C6" s="11"/>
      <c r="D6" s="533"/>
      <c r="E6" s="11"/>
      <c r="F6" s="11"/>
      <c r="G6"/>
      <c r="H6"/>
      <c r="I6"/>
      <c r="J6"/>
      <c r="K6"/>
      <c r="L6"/>
      <c r="M6"/>
      <c r="N6"/>
      <c r="O6"/>
      <c r="P6"/>
      <c r="Q6"/>
      <c r="R6"/>
      <c r="S6"/>
      <c r="T6"/>
      <c r="U6"/>
      <c r="V6"/>
      <c r="W6"/>
      <c r="X6"/>
      <c r="Y6"/>
      <c r="Z6"/>
      <c r="AA6"/>
      <c r="AB6"/>
      <c r="AC6"/>
      <c r="AD6"/>
      <c r="AE6"/>
      <c r="AF6"/>
      <c r="AG6"/>
      <c r="AH6"/>
      <c r="AI6"/>
      <c r="AJ6"/>
      <c r="AK6"/>
      <c r="AL6"/>
      <c r="AM6"/>
      <c r="AN6"/>
      <c r="AO6"/>
      <c r="AP6"/>
      <c r="AQ6"/>
    </row>
    <row r="7" spans="1:43" s="1" customFormat="1" ht="42.75" customHeight="1">
      <c r="A7" s="39"/>
      <c r="B7" s="505" t="s">
        <v>400</v>
      </c>
      <c r="C7" s="476"/>
      <c r="D7" s="617">
        <v>41274</v>
      </c>
      <c r="E7" s="616">
        <v>40908</v>
      </c>
      <c r="F7" s="41"/>
      <c r="G7"/>
      <c r="H7"/>
      <c r="I7"/>
      <c r="J7"/>
      <c r="K7"/>
      <c r="L7"/>
      <c r="M7"/>
      <c r="N7"/>
      <c r="O7"/>
      <c r="P7"/>
      <c r="Q7"/>
      <c r="R7"/>
      <c r="S7"/>
      <c r="T7"/>
      <c r="U7"/>
      <c r="V7"/>
      <c r="W7"/>
      <c r="X7"/>
      <c r="Y7"/>
      <c r="Z7"/>
      <c r="AA7"/>
      <c r="AB7"/>
      <c r="AC7"/>
      <c r="AD7"/>
      <c r="AE7"/>
      <c r="AF7"/>
      <c r="AG7"/>
      <c r="AH7"/>
      <c r="AI7"/>
      <c r="AJ7"/>
      <c r="AK7"/>
      <c r="AL7"/>
      <c r="AM7"/>
      <c r="AN7"/>
      <c r="AO7"/>
      <c r="AP7"/>
      <c r="AQ7"/>
    </row>
    <row r="8" spans="1:43" s="1" customFormat="1" ht="3.75" customHeight="1">
      <c r="A8" s="39"/>
      <c r="B8" s="42"/>
      <c r="C8" s="448"/>
      <c r="D8" s="535"/>
      <c r="E8" s="444"/>
      <c r="F8" s="42"/>
      <c r="G8"/>
      <c r="H8"/>
      <c r="I8"/>
      <c r="J8"/>
      <c r="K8"/>
      <c r="L8"/>
      <c r="M8"/>
      <c r="N8"/>
      <c r="O8"/>
      <c r="P8"/>
      <c r="Q8"/>
      <c r="R8"/>
      <c r="S8"/>
      <c r="T8"/>
      <c r="U8"/>
      <c r="V8"/>
      <c r="W8"/>
      <c r="X8"/>
      <c r="Y8"/>
      <c r="Z8"/>
      <c r="AA8"/>
      <c r="AB8"/>
      <c r="AC8"/>
      <c r="AD8"/>
      <c r="AE8"/>
      <c r="AF8"/>
      <c r="AG8"/>
      <c r="AH8"/>
      <c r="AI8"/>
      <c r="AJ8"/>
      <c r="AK8"/>
      <c r="AL8"/>
      <c r="AM8"/>
      <c r="AN8"/>
      <c r="AO8"/>
      <c r="AP8"/>
      <c r="AQ8"/>
    </row>
    <row r="9" spans="1:43" s="1" customFormat="1" ht="18.75" customHeight="1">
      <c r="A9" s="39"/>
      <c r="B9" s="316" t="s">
        <v>424</v>
      </c>
      <c r="C9" s="2"/>
      <c r="D9" s="583">
        <v>69050.59</v>
      </c>
      <c r="E9" s="583">
        <v>48838.13</v>
      </c>
      <c r="F9" s="606"/>
      <c r="G9"/>
      <c r="H9"/>
      <c r="I9"/>
      <c r="J9"/>
      <c r="K9"/>
      <c r="L9"/>
      <c r="M9"/>
      <c r="N9"/>
      <c r="O9"/>
      <c r="P9"/>
      <c r="Q9"/>
      <c r="R9"/>
      <c r="S9"/>
      <c r="T9"/>
      <c r="U9"/>
      <c r="V9"/>
      <c r="W9"/>
      <c r="X9"/>
      <c r="Y9"/>
      <c r="Z9"/>
      <c r="AA9"/>
      <c r="AB9"/>
      <c r="AC9"/>
      <c r="AD9"/>
      <c r="AE9"/>
      <c r="AF9"/>
      <c r="AG9"/>
      <c r="AH9"/>
      <c r="AI9"/>
      <c r="AJ9"/>
      <c r="AK9"/>
      <c r="AL9"/>
      <c r="AM9"/>
      <c r="AN9"/>
      <c r="AO9"/>
      <c r="AP9"/>
      <c r="AQ9"/>
    </row>
    <row r="10" spans="1:43" s="1" customFormat="1" ht="18.75" hidden="1" customHeight="1">
      <c r="A10" s="39"/>
      <c r="B10" s="498" t="s">
        <v>370</v>
      </c>
      <c r="C10" s="2"/>
      <c r="D10" s="583"/>
      <c r="E10" s="583"/>
      <c r="F10" s="606"/>
      <c r="G10"/>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s="1" customFormat="1" ht="17.25" customHeight="1">
      <c r="A11" s="39"/>
      <c r="B11" s="316" t="s">
        <v>401</v>
      </c>
      <c r="C11" s="2"/>
      <c r="D11" s="583">
        <v>944.75</v>
      </c>
      <c r="E11" s="583">
        <v>1628.75</v>
      </c>
      <c r="F11" s="606"/>
      <c r="G11"/>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3" s="1" customFormat="1" ht="18.75" hidden="1" customHeight="1">
      <c r="A12" s="39"/>
      <c r="B12" s="498" t="s">
        <v>114</v>
      </c>
      <c r="C12" s="2"/>
      <c r="D12" s="583"/>
      <c r="E12" s="583"/>
      <c r="F12" s="606"/>
      <c r="G12"/>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 customFormat="1" ht="18.75" hidden="1" customHeight="1">
      <c r="A13" s="39"/>
      <c r="B13" s="316" t="s">
        <v>273</v>
      </c>
      <c r="C13" s="2"/>
      <c r="D13" s="583"/>
      <c r="E13" s="583"/>
      <c r="F13" s="606"/>
      <c r="G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 customFormat="1" ht="18.75" customHeight="1">
      <c r="A14" s="39"/>
      <c r="B14" s="316" t="s">
        <v>425</v>
      </c>
      <c r="C14" s="2"/>
      <c r="D14" s="583">
        <v>16463</v>
      </c>
      <c r="E14" s="583">
        <v>463</v>
      </c>
      <c r="F14" s="606"/>
      <c r="G14"/>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 customFormat="1" ht="18" hidden="1" customHeight="1">
      <c r="A15" s="39"/>
      <c r="B15" s="316" t="s">
        <v>363</v>
      </c>
      <c r="C15" s="2"/>
      <c r="D15" s="583">
        <v>435042.72</v>
      </c>
      <c r="E15" s="583">
        <v>435042.72</v>
      </c>
      <c r="F15" s="606"/>
      <c r="G15"/>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 customFormat="1" ht="18.75" customHeight="1">
      <c r="A16" s="39"/>
      <c r="B16" s="503" t="s">
        <v>415</v>
      </c>
      <c r="C16" s="472"/>
      <c r="D16" s="584">
        <f>SUM(D9:D14)</f>
        <v>86458.34</v>
      </c>
      <c r="E16" s="584">
        <f>SUM(E9:E14)</f>
        <v>50929.88</v>
      </c>
      <c r="F16" s="607"/>
      <c r="G16"/>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 customFormat="1" ht="18.75" customHeight="1">
      <c r="A17" s="39"/>
      <c r="B17" s="316" t="s">
        <v>430</v>
      </c>
      <c r="C17" s="472"/>
      <c r="D17" s="583">
        <v>62101.81</v>
      </c>
      <c r="E17" s="583">
        <v>28603.32</v>
      </c>
      <c r="F17" s="608"/>
      <c r="G17"/>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 customFormat="1" ht="18.75" hidden="1" customHeight="1">
      <c r="A18" s="39"/>
      <c r="B18" s="316" t="s">
        <v>262</v>
      </c>
      <c r="C18" s="2"/>
      <c r="D18" s="583"/>
      <c r="E18" s="583"/>
      <c r="F18" s="606"/>
      <c r="G18"/>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 customFormat="1" ht="17.25" customHeight="1">
      <c r="A19" s="39"/>
      <c r="B19" s="316" t="s">
        <v>402</v>
      </c>
      <c r="C19" s="2"/>
      <c r="D19" s="583">
        <v>1209041.2</v>
      </c>
      <c r="E19" s="583">
        <v>560994.36</v>
      </c>
      <c r="F19" s="606"/>
      <c r="G19"/>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 customFormat="1" ht="18.75" hidden="1" customHeight="1">
      <c r="A20" s="39"/>
      <c r="B20" s="316" t="s">
        <v>55</v>
      </c>
      <c r="C20" s="2"/>
      <c r="D20" s="583"/>
      <c r="E20" s="583"/>
      <c r="F20" s="606"/>
      <c r="G20"/>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 customFormat="1" ht="18.75" customHeight="1">
      <c r="A21" s="39"/>
      <c r="B21" s="320" t="s">
        <v>83</v>
      </c>
      <c r="C21" s="2"/>
      <c r="D21" s="585">
        <v>95141.01</v>
      </c>
      <c r="E21" s="585">
        <v>2222.0500000000002</v>
      </c>
      <c r="F21" s="606"/>
      <c r="G21"/>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 customFormat="1" ht="18.75" customHeight="1">
      <c r="A22" s="39"/>
      <c r="B22" s="503" t="s">
        <v>403</v>
      </c>
      <c r="C22" s="472"/>
      <c r="D22" s="586">
        <f>SUM(D17:D21)</f>
        <v>1366284.02</v>
      </c>
      <c r="E22" s="586">
        <f>SUM(E17:E21)</f>
        <v>591819.73</v>
      </c>
      <c r="F22" s="607"/>
      <c r="G22"/>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 customFormat="1" ht="6" customHeight="1">
      <c r="A23" s="39"/>
      <c r="B23" s="316"/>
      <c r="C23" s="2"/>
      <c r="D23" s="587"/>
      <c r="E23" s="587"/>
      <c r="F23" s="606"/>
      <c r="G23"/>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 customFormat="1" ht="18.75" customHeight="1" thickBot="1">
      <c r="A24" s="39"/>
      <c r="B24" s="509" t="s">
        <v>404</v>
      </c>
      <c r="C24" s="510"/>
      <c r="D24" s="588">
        <f>D22+D16</f>
        <v>1452742.36</v>
      </c>
      <c r="E24" s="588">
        <f>E22+E16</f>
        <v>642749.61</v>
      </c>
      <c r="F24" s="609"/>
      <c r="G24"/>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 customFormat="1" ht="18.75" customHeight="1" thickTop="1">
      <c r="A25" s="39"/>
      <c r="C25" s="2"/>
      <c r="D25" s="589"/>
      <c r="E25" s="589"/>
      <c r="F25" s="606"/>
      <c r="G25"/>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 customFormat="1" ht="18.75" customHeight="1">
      <c r="A26" s="39"/>
      <c r="B26" s="506" t="s">
        <v>405</v>
      </c>
      <c r="C26" s="472"/>
      <c r="D26" s="590"/>
      <c r="E26" s="590"/>
      <c r="F26" s="610"/>
      <c r="G26"/>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 customFormat="1" ht="18.75" customHeight="1">
      <c r="A27" s="39"/>
      <c r="B27" s="316" t="s">
        <v>406</v>
      </c>
      <c r="C27" s="2"/>
      <c r="D27" s="583">
        <v>923305.34</v>
      </c>
      <c r="E27" s="583">
        <v>186990.63</v>
      </c>
      <c r="F27" s="611"/>
      <c r="G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 customFormat="1" ht="18.75" customHeight="1">
      <c r="A28" s="39"/>
      <c r="B28" s="316" t="s">
        <v>416</v>
      </c>
      <c r="C28" s="2"/>
      <c r="D28" s="583">
        <v>27365.97</v>
      </c>
      <c r="E28" s="583">
        <v>13151.8</v>
      </c>
      <c r="F28" s="608"/>
      <c r="G28"/>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 customFormat="1" ht="18.75" customHeight="1">
      <c r="A29" s="39"/>
      <c r="B29" s="503" t="s">
        <v>417</v>
      </c>
      <c r="C29" s="448"/>
      <c r="D29" s="584">
        <f>SUM(D27:D28)</f>
        <v>950671.30999999994</v>
      </c>
      <c r="E29" s="584">
        <f>SUM(E27:E28)</f>
        <v>200142.43</v>
      </c>
      <c r="F29" s="606"/>
      <c r="G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 customFormat="1" ht="9" customHeight="1">
      <c r="A30" s="39"/>
      <c r="B30" s="477"/>
      <c r="C30" s="448"/>
      <c r="D30" s="592"/>
      <c r="E30" s="592"/>
      <c r="F30" s="606"/>
      <c r="G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 customFormat="1" ht="18.75" customHeight="1">
      <c r="A31" s="39"/>
      <c r="B31" s="503" t="s">
        <v>407</v>
      </c>
      <c r="C31" s="448"/>
      <c r="D31" s="592">
        <f xml:space="preserve"> D29</f>
        <v>950671.30999999994</v>
      </c>
      <c r="E31" s="592">
        <f xml:space="preserve"> E29</f>
        <v>200142.43</v>
      </c>
      <c r="F31" s="606"/>
      <c r="G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 customFormat="1" ht="6" customHeight="1">
      <c r="A32" s="39"/>
      <c r="B32" s="42"/>
      <c r="C32" s="448"/>
      <c r="D32" s="592"/>
      <c r="E32" s="592"/>
      <c r="F32" s="606"/>
      <c r="G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 customFormat="1" ht="18.75" customHeight="1">
      <c r="A33" s="39"/>
      <c r="B33" s="316" t="s">
        <v>431</v>
      </c>
      <c r="C33" s="44"/>
      <c r="D33" s="583">
        <v>390000</v>
      </c>
      <c r="E33" s="583">
        <v>390000</v>
      </c>
      <c r="F33" s="606"/>
      <c r="G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 customFormat="1" ht="18.75" customHeight="1">
      <c r="A34" s="39"/>
      <c r="B34" s="316" t="s">
        <v>309</v>
      </c>
      <c r="C34" s="2"/>
      <c r="D34" s="583">
        <v>112071.05</v>
      </c>
      <c r="E34" s="583">
        <v>52607.18</v>
      </c>
      <c r="F34" s="612"/>
      <c r="G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pans="1:43" s="1" customFormat="1" ht="18.75" customHeight="1">
      <c r="A35" s="39"/>
      <c r="B35" s="503" t="s">
        <v>418</v>
      </c>
      <c r="C35" s="448"/>
      <c r="D35" s="584">
        <f>SUM(D33:D34)</f>
        <v>502071.05</v>
      </c>
      <c r="E35" s="584">
        <f>SUM(E33:E34)</f>
        <v>442607.18</v>
      </c>
      <c r="F35" s="608"/>
      <c r="G35"/>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pans="1:43" s="1" customFormat="1" ht="4.5" customHeight="1">
      <c r="A36" s="39"/>
      <c r="B36" s="477"/>
      <c r="C36"/>
      <c r="D36" s="591"/>
      <c r="E36" s="591"/>
      <c r="F36" s="606"/>
      <c r="G36"/>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pans="1:43" s="1" customFormat="1" ht="24" customHeight="1" thickBot="1">
      <c r="A37" s="39"/>
      <c r="B37" s="509" t="s">
        <v>419</v>
      </c>
      <c r="C37" s="511"/>
      <c r="D37" s="593">
        <f>+D31+D35</f>
        <v>1452742.3599999999</v>
      </c>
      <c r="E37" s="593">
        <f>+E31+E35</f>
        <v>642749.61</v>
      </c>
      <c r="F37" s="606"/>
      <c r="G37"/>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pans="1:43" s="1" customFormat="1" ht="18.75" customHeight="1" thickTop="1">
      <c r="A38" s="39"/>
      <c r="B38"/>
      <c r="C38"/>
      <c r="D38" s="536"/>
      <c r="E38" s="508"/>
      <c r="F38" s="606"/>
      <c r="G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1:43" s="1" customFormat="1" ht="24.75" customHeight="1">
      <c r="A39" s="39"/>
      <c r="B39"/>
      <c r="C39"/>
      <c r="D39" s="536"/>
      <c r="E39" s="508"/>
      <c r="F39" s="211"/>
      <c r="G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1:43" s="1" customFormat="1" ht="18.75" customHeight="1">
      <c r="A40" s="39"/>
      <c r="B40" s="613"/>
      <c r="C40" s="613"/>
      <c r="D40" s="613"/>
      <c r="E40" s="613"/>
      <c r="F40" s="211"/>
      <c r="G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1:43" s="1" customFormat="1" ht="18.75" customHeight="1">
      <c r="A41" s="39"/>
      <c r="B41"/>
      <c r="C41"/>
      <c r="D41" s="536"/>
      <c r="E41" s="508"/>
      <c r="F41" s="248"/>
      <c r="G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pans="1:43" s="1" customFormat="1" ht="18.75" customHeight="1">
      <c r="A42" s="39"/>
      <c r="B42"/>
      <c r="C42"/>
      <c r="D42" s="536"/>
      <c r="E42" s="508"/>
      <c r="F42" s="248"/>
      <c r="G42"/>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pans="1:43" s="1" customFormat="1" ht="1.5" customHeight="1">
      <c r="A43" s="39"/>
      <c r="B43"/>
      <c r="C43"/>
      <c r="D43" s="536"/>
      <c r="E43" s="508"/>
      <c r="F43" s="248"/>
      <c r="G43"/>
      <c r="H43"/>
      <c r="I43"/>
      <c r="J43"/>
      <c r="K43"/>
      <c r="L43"/>
      <c r="M43"/>
      <c r="N43"/>
      <c r="O43"/>
      <c r="P43"/>
      <c r="Q43"/>
      <c r="R43"/>
      <c r="S43"/>
      <c r="T43"/>
      <c r="U43"/>
      <c r="V43"/>
      <c r="W43"/>
      <c r="X43"/>
      <c r="Y43"/>
      <c r="Z43"/>
      <c r="AA43"/>
      <c r="AB43"/>
      <c r="AC43"/>
      <c r="AD43"/>
      <c r="AE43"/>
      <c r="AF43"/>
      <c r="AG43"/>
      <c r="AH43"/>
      <c r="AI43"/>
      <c r="AJ43"/>
      <c r="AK43"/>
      <c r="AL43"/>
      <c r="AM43"/>
      <c r="AN43"/>
      <c r="AO43"/>
      <c r="AP43"/>
      <c r="AQ43"/>
    </row>
    <row r="44" spans="1:43" s="1" customFormat="1" ht="18.75" customHeight="1">
      <c r="A44" s="39"/>
      <c r="B44"/>
      <c r="C44"/>
      <c r="D44" s="536"/>
      <c r="E44" s="508"/>
      <c r="F44" s="248"/>
      <c r="G44"/>
      <c r="H44"/>
      <c r="I44"/>
      <c r="J44"/>
      <c r="K44"/>
      <c r="L44"/>
      <c r="M44"/>
      <c r="N44"/>
      <c r="O44"/>
      <c r="P44"/>
      <c r="Q44"/>
      <c r="R44"/>
      <c r="S44"/>
      <c r="T44"/>
      <c r="U44"/>
      <c r="V44"/>
      <c r="W44"/>
      <c r="X44"/>
      <c r="Y44"/>
      <c r="Z44"/>
      <c r="AA44"/>
      <c r="AB44"/>
      <c r="AC44"/>
      <c r="AD44"/>
      <c r="AE44"/>
      <c r="AF44"/>
      <c r="AG44"/>
      <c r="AH44"/>
      <c r="AI44"/>
      <c r="AJ44"/>
      <c r="AK44"/>
      <c r="AL44"/>
      <c r="AM44"/>
      <c r="AN44"/>
      <c r="AO44"/>
      <c r="AP44"/>
      <c r="AQ44"/>
    </row>
    <row r="45" spans="1:43" s="1" customFormat="1" ht="18.75" customHeight="1">
      <c r="A45" s="39"/>
      <c r="B45" s="42"/>
      <c r="C45" s="448"/>
      <c r="D45" s="537"/>
      <c r="E45" s="233"/>
      <c r="F45" s="212"/>
      <c r="G45"/>
      <c r="H45"/>
      <c r="I45"/>
      <c r="J45"/>
      <c r="K45"/>
      <c r="L45"/>
      <c r="M45"/>
      <c r="N45"/>
      <c r="O45"/>
      <c r="P45"/>
      <c r="Q45"/>
      <c r="R45"/>
      <c r="S45"/>
      <c r="T45"/>
      <c r="U45"/>
      <c r="V45"/>
      <c r="W45"/>
      <c r="X45"/>
      <c r="Y45"/>
      <c r="Z45"/>
      <c r="AA45"/>
      <c r="AB45"/>
      <c r="AC45"/>
      <c r="AD45"/>
      <c r="AE45"/>
      <c r="AF45"/>
      <c r="AG45"/>
      <c r="AH45"/>
      <c r="AI45"/>
      <c r="AJ45"/>
      <c r="AK45"/>
      <c r="AL45"/>
      <c r="AM45"/>
      <c r="AN45"/>
      <c r="AO45"/>
      <c r="AP45"/>
      <c r="AQ45"/>
    </row>
    <row r="46" spans="1:43" s="1" customFormat="1" ht="18.75" customHeight="1">
      <c r="A46" s="39"/>
      <c r="B46" s="42"/>
      <c r="C46" s="448"/>
      <c r="D46" s="537"/>
      <c r="E46" s="233"/>
      <c r="F46" s="212"/>
      <c r="G46"/>
      <c r="H46"/>
      <c r="I46"/>
      <c r="J46"/>
      <c r="K46"/>
      <c r="L46"/>
      <c r="M46"/>
      <c r="N46"/>
      <c r="O46"/>
      <c r="P46"/>
      <c r="Q46"/>
      <c r="R46"/>
      <c r="S46"/>
      <c r="T46"/>
      <c r="U46"/>
      <c r="V46"/>
      <c r="W46"/>
      <c r="X46"/>
      <c r="Y46"/>
      <c r="Z46"/>
      <c r="AA46"/>
      <c r="AB46"/>
      <c r="AC46"/>
      <c r="AD46"/>
      <c r="AE46"/>
      <c r="AF46"/>
      <c r="AG46"/>
      <c r="AH46"/>
      <c r="AI46"/>
      <c r="AJ46"/>
      <c r="AK46"/>
      <c r="AL46"/>
      <c r="AM46"/>
      <c r="AN46"/>
      <c r="AO46"/>
      <c r="AP46"/>
      <c r="AQ46"/>
    </row>
    <row r="47" spans="1:43" s="1" customFormat="1" ht="33.75" customHeight="1">
      <c r="A47" s="39"/>
      <c r="B47"/>
      <c r="C47"/>
      <c r="D47" s="536"/>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row>
    <row r="48" spans="1:43" s="1" customFormat="1" ht="12" customHeight="1">
      <c r="A48" s="39"/>
      <c r="B48"/>
      <c r="C48"/>
      <c r="D48" s="536"/>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row>
    <row r="49" spans="1:43" s="1" customFormat="1">
      <c r="A49" s="39"/>
      <c r="B49"/>
      <c r="C49"/>
      <c r="D49" s="536"/>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row>
    <row r="50" spans="1:43">
      <c r="B50"/>
      <c r="C50"/>
      <c r="D50" s="536"/>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row>
    <row r="51" spans="1:43">
      <c r="A51" s="250"/>
      <c r="B51"/>
      <c r="C51"/>
      <c r="D51" s="536"/>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row>
    <row r="52" spans="1:43">
      <c r="B52"/>
      <c r="C52"/>
      <c r="D52" s="536"/>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row>
    <row r="53" spans="1:43">
      <c r="B53"/>
      <c r="C53"/>
      <c r="D53" s="536"/>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row>
    <row r="54" spans="1:43">
      <c r="B54"/>
      <c r="C54"/>
      <c r="D54" s="536"/>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row>
    <row r="55" spans="1:43">
      <c r="B55"/>
      <c r="C55"/>
      <c r="D55" s="536"/>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row>
    <row r="56" spans="1:43">
      <c r="B56"/>
      <c r="C56"/>
      <c r="D56" s="53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row>
    <row r="57" spans="1:43">
      <c r="B57"/>
      <c r="C57"/>
      <c r="D57" s="536"/>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row>
    <row r="58" spans="1:43">
      <c r="B58"/>
      <c r="C58"/>
      <c r="D58" s="536"/>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row>
    <row r="59" spans="1:43">
      <c r="B59"/>
      <c r="C59"/>
      <c r="D59" s="536"/>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row>
    <row r="60" spans="1:43">
      <c r="B60"/>
      <c r="C60"/>
      <c r="D60" s="536"/>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row>
    <row r="61" spans="1:43">
      <c r="B61"/>
      <c r="C61"/>
      <c r="D61" s="536"/>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row>
    <row r="62" spans="1:43">
      <c r="B62"/>
      <c r="C62"/>
      <c r="D62" s="536"/>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row>
    <row r="63" spans="1:43">
      <c r="G63"/>
      <c r="H63"/>
      <c r="I63"/>
      <c r="J63"/>
      <c r="K63"/>
      <c r="L63"/>
      <c r="M63"/>
      <c r="N63"/>
      <c r="O63"/>
      <c r="P63"/>
      <c r="Q63"/>
      <c r="R63"/>
      <c r="S63"/>
      <c r="T63"/>
      <c r="U63"/>
      <c r="V63"/>
      <c r="W63"/>
      <c r="X63"/>
      <c r="Y63"/>
      <c r="Z63"/>
      <c r="AA63"/>
      <c r="AB63"/>
      <c r="AC63"/>
      <c r="AD63"/>
      <c r="AE63"/>
      <c r="AF63"/>
      <c r="AG63"/>
      <c r="AH63"/>
      <c r="AI63"/>
      <c r="AJ63"/>
      <c r="AK63"/>
      <c r="AL63"/>
      <c r="AM63"/>
      <c r="AN63"/>
      <c r="AO63"/>
      <c r="AP63"/>
      <c r="AQ63"/>
    </row>
    <row r="64" spans="1:43">
      <c r="G64"/>
      <c r="H64"/>
      <c r="I64"/>
      <c r="J64"/>
      <c r="K64"/>
      <c r="L64"/>
      <c r="M64"/>
      <c r="N64"/>
      <c r="O64"/>
      <c r="P64"/>
      <c r="Q64"/>
      <c r="R64"/>
      <c r="S64"/>
      <c r="T64"/>
      <c r="U64"/>
      <c r="V64"/>
      <c r="W64"/>
      <c r="X64"/>
      <c r="Y64"/>
      <c r="Z64"/>
      <c r="AA64"/>
      <c r="AB64"/>
      <c r="AC64"/>
      <c r="AD64"/>
      <c r="AE64"/>
      <c r="AF64"/>
      <c r="AG64"/>
      <c r="AH64"/>
      <c r="AI64"/>
      <c r="AJ64"/>
      <c r="AK64"/>
      <c r="AL64"/>
      <c r="AM64"/>
      <c r="AN64"/>
      <c r="AO64"/>
      <c r="AP64"/>
      <c r="AQ64"/>
    </row>
    <row r="65" spans="7:43">
      <c r="G65"/>
      <c r="H65"/>
      <c r="I65"/>
      <c r="J65"/>
      <c r="K65"/>
      <c r="L65"/>
      <c r="M65"/>
      <c r="N65"/>
      <c r="O65"/>
      <c r="P65"/>
      <c r="Q65"/>
      <c r="R65"/>
      <c r="S65"/>
      <c r="T65"/>
      <c r="U65"/>
      <c r="V65"/>
      <c r="W65"/>
      <c r="X65"/>
      <c r="Y65"/>
      <c r="Z65"/>
      <c r="AA65"/>
      <c r="AB65"/>
      <c r="AC65"/>
      <c r="AD65"/>
      <c r="AE65"/>
      <c r="AF65"/>
      <c r="AG65"/>
      <c r="AH65"/>
      <c r="AI65"/>
      <c r="AJ65"/>
      <c r="AK65"/>
      <c r="AL65"/>
      <c r="AM65"/>
      <c r="AN65"/>
      <c r="AO65"/>
      <c r="AP65"/>
      <c r="AQ65"/>
    </row>
    <row r="66" spans="7:43">
      <c r="G66"/>
      <c r="H66"/>
      <c r="I66"/>
      <c r="J66"/>
      <c r="K66"/>
      <c r="L66"/>
      <c r="M66"/>
      <c r="N66"/>
      <c r="O66"/>
      <c r="P66"/>
      <c r="Q66"/>
      <c r="R66"/>
      <c r="S66"/>
      <c r="T66"/>
      <c r="U66"/>
      <c r="V66"/>
      <c r="W66"/>
      <c r="X66"/>
      <c r="Y66"/>
      <c r="Z66"/>
      <c r="AA66"/>
      <c r="AB66"/>
      <c r="AC66"/>
      <c r="AD66"/>
      <c r="AE66"/>
      <c r="AF66"/>
      <c r="AG66"/>
      <c r="AH66"/>
      <c r="AI66"/>
      <c r="AJ66"/>
      <c r="AK66"/>
      <c r="AL66"/>
      <c r="AM66"/>
      <c r="AN66"/>
      <c r="AO66"/>
      <c r="AP66"/>
      <c r="AQ66"/>
    </row>
    <row r="67" spans="7:43">
      <c r="G67"/>
      <c r="H67"/>
      <c r="I67"/>
      <c r="J67"/>
      <c r="K67"/>
      <c r="L67"/>
      <c r="M67"/>
      <c r="N67"/>
      <c r="O67"/>
      <c r="P67"/>
      <c r="Q67"/>
      <c r="R67"/>
      <c r="S67"/>
      <c r="T67"/>
      <c r="U67"/>
      <c r="V67"/>
      <c r="W67"/>
      <c r="X67"/>
      <c r="Y67"/>
      <c r="Z67"/>
      <c r="AA67"/>
      <c r="AB67"/>
      <c r="AC67"/>
      <c r="AD67"/>
      <c r="AE67"/>
      <c r="AF67"/>
      <c r="AG67"/>
      <c r="AH67"/>
      <c r="AI67"/>
      <c r="AJ67"/>
      <c r="AK67"/>
      <c r="AL67"/>
      <c r="AM67"/>
      <c r="AN67"/>
      <c r="AO67"/>
      <c r="AP67"/>
      <c r="AQ67"/>
    </row>
    <row r="68" spans="7:43">
      <c r="G68"/>
      <c r="H68"/>
      <c r="I68"/>
      <c r="J68"/>
      <c r="K68"/>
      <c r="L68"/>
      <c r="M68"/>
      <c r="N68"/>
      <c r="O68"/>
      <c r="P68"/>
      <c r="Q68"/>
      <c r="R68"/>
      <c r="S68"/>
      <c r="T68"/>
      <c r="U68"/>
      <c r="V68"/>
      <c r="W68"/>
      <c r="X68"/>
      <c r="Y68"/>
      <c r="Z68"/>
      <c r="AA68"/>
      <c r="AB68"/>
      <c r="AC68"/>
      <c r="AD68"/>
      <c r="AE68"/>
      <c r="AF68"/>
      <c r="AG68"/>
      <c r="AH68"/>
      <c r="AI68"/>
      <c r="AJ68"/>
      <c r="AK68"/>
      <c r="AL68"/>
      <c r="AM68"/>
      <c r="AN68"/>
      <c r="AO68"/>
      <c r="AP68"/>
      <c r="AQ68"/>
    </row>
    <row r="69" spans="7:43">
      <c r="G69"/>
      <c r="H69"/>
      <c r="I69"/>
      <c r="J69"/>
      <c r="K69"/>
      <c r="L69"/>
      <c r="M69"/>
      <c r="N69"/>
      <c r="O69"/>
      <c r="P69"/>
      <c r="Q69"/>
      <c r="R69"/>
      <c r="S69"/>
      <c r="T69"/>
      <c r="U69"/>
      <c r="V69"/>
      <c r="W69"/>
      <c r="X69"/>
      <c r="Y69"/>
      <c r="Z69"/>
      <c r="AA69"/>
      <c r="AB69"/>
      <c r="AC69"/>
      <c r="AD69"/>
      <c r="AE69"/>
      <c r="AF69"/>
      <c r="AG69"/>
      <c r="AH69"/>
      <c r="AI69"/>
      <c r="AJ69"/>
      <c r="AK69"/>
      <c r="AL69"/>
      <c r="AM69"/>
      <c r="AN69"/>
      <c r="AO69"/>
      <c r="AP69"/>
      <c r="AQ69"/>
    </row>
    <row r="70" spans="7:43">
      <c r="G70"/>
      <c r="H70"/>
      <c r="I70"/>
      <c r="J70"/>
      <c r="K70"/>
      <c r="L70"/>
      <c r="M70"/>
      <c r="N70"/>
      <c r="O70"/>
      <c r="P70"/>
      <c r="Q70"/>
      <c r="R70"/>
      <c r="S70"/>
      <c r="T70"/>
      <c r="U70"/>
      <c r="V70"/>
      <c r="W70"/>
      <c r="X70"/>
      <c r="Y70"/>
      <c r="Z70"/>
      <c r="AA70"/>
      <c r="AB70"/>
      <c r="AC70"/>
      <c r="AD70"/>
      <c r="AE70"/>
      <c r="AF70"/>
      <c r="AG70"/>
      <c r="AH70"/>
      <c r="AI70"/>
      <c r="AJ70"/>
      <c r="AK70"/>
      <c r="AL70"/>
      <c r="AM70"/>
      <c r="AN70"/>
      <c r="AO70"/>
      <c r="AP70"/>
      <c r="AQ70"/>
    </row>
    <row r="71" spans="7:43">
      <c r="G71"/>
      <c r="H71"/>
      <c r="I71"/>
      <c r="J71"/>
      <c r="K71"/>
      <c r="L71"/>
      <c r="M71"/>
      <c r="N71"/>
      <c r="O71"/>
      <c r="P71"/>
      <c r="Q71"/>
      <c r="R71"/>
      <c r="S71"/>
      <c r="T71"/>
      <c r="U71"/>
      <c r="V71"/>
      <c r="W71"/>
      <c r="X71"/>
      <c r="Y71"/>
      <c r="Z71"/>
      <c r="AA71"/>
      <c r="AB71"/>
      <c r="AC71"/>
      <c r="AD71"/>
      <c r="AE71"/>
      <c r="AF71"/>
      <c r="AG71"/>
      <c r="AH71"/>
      <c r="AI71"/>
      <c r="AJ71"/>
      <c r="AK71"/>
      <c r="AL71"/>
      <c r="AM71"/>
      <c r="AN71"/>
      <c r="AO71"/>
      <c r="AP71"/>
      <c r="AQ71"/>
    </row>
    <row r="72" spans="7:43">
      <c r="G72"/>
      <c r="H72"/>
      <c r="I72"/>
      <c r="J72"/>
      <c r="K72"/>
      <c r="L72"/>
      <c r="M72"/>
      <c r="N72"/>
      <c r="O72"/>
      <c r="P72"/>
      <c r="Q72"/>
      <c r="R72"/>
      <c r="S72"/>
      <c r="T72"/>
      <c r="U72"/>
      <c r="V72"/>
      <c r="W72"/>
      <c r="X72"/>
      <c r="Y72"/>
      <c r="Z72"/>
      <c r="AA72"/>
      <c r="AB72"/>
      <c r="AC72"/>
      <c r="AD72"/>
      <c r="AE72"/>
      <c r="AF72"/>
      <c r="AG72"/>
      <c r="AH72"/>
      <c r="AI72"/>
      <c r="AJ72"/>
      <c r="AK72"/>
      <c r="AL72"/>
      <c r="AM72"/>
      <c r="AN72"/>
      <c r="AO72"/>
      <c r="AP72"/>
      <c r="AQ72"/>
    </row>
    <row r="73" spans="7:43">
      <c r="G73"/>
      <c r="H73"/>
      <c r="I73"/>
      <c r="J73"/>
      <c r="K73"/>
      <c r="L73"/>
      <c r="M73"/>
      <c r="N73"/>
      <c r="O73"/>
      <c r="P73"/>
      <c r="Q73"/>
      <c r="R73"/>
      <c r="S73"/>
      <c r="T73"/>
      <c r="U73"/>
      <c r="V73"/>
      <c r="W73"/>
      <c r="X73"/>
      <c r="Y73"/>
      <c r="Z73"/>
      <c r="AA73"/>
      <c r="AB73"/>
      <c r="AC73"/>
      <c r="AD73"/>
      <c r="AE73"/>
      <c r="AF73"/>
      <c r="AG73"/>
      <c r="AH73"/>
      <c r="AI73"/>
      <c r="AJ73"/>
      <c r="AK73"/>
      <c r="AL73"/>
      <c r="AM73"/>
      <c r="AN73"/>
      <c r="AO73"/>
      <c r="AP73"/>
      <c r="AQ73"/>
    </row>
    <row r="74" spans="7:43">
      <c r="G74"/>
      <c r="H74"/>
      <c r="I74"/>
      <c r="J74"/>
      <c r="K74"/>
      <c r="L74"/>
      <c r="M74"/>
      <c r="N74"/>
      <c r="O74"/>
      <c r="P74"/>
      <c r="Q74"/>
      <c r="R74"/>
      <c r="S74"/>
      <c r="T74"/>
      <c r="U74"/>
      <c r="V74"/>
      <c r="W74"/>
      <c r="X74"/>
      <c r="Y74"/>
      <c r="Z74"/>
      <c r="AA74"/>
      <c r="AB74"/>
      <c r="AC74"/>
      <c r="AD74"/>
      <c r="AE74"/>
      <c r="AF74"/>
      <c r="AG74"/>
      <c r="AH74"/>
      <c r="AI74"/>
      <c r="AJ74"/>
      <c r="AK74"/>
      <c r="AL74"/>
      <c r="AM74"/>
      <c r="AN74"/>
      <c r="AO74"/>
      <c r="AP74"/>
      <c r="AQ74"/>
    </row>
    <row r="75" spans="7:43">
      <c r="G75"/>
      <c r="H75"/>
      <c r="I75"/>
      <c r="J75"/>
      <c r="K75"/>
      <c r="L75"/>
      <c r="M75"/>
      <c r="N75"/>
      <c r="O75"/>
      <c r="P75"/>
      <c r="Q75"/>
      <c r="R75"/>
      <c r="S75"/>
      <c r="T75"/>
      <c r="U75"/>
      <c r="V75"/>
      <c r="W75"/>
      <c r="X75"/>
      <c r="Y75"/>
      <c r="Z75"/>
      <c r="AA75"/>
      <c r="AB75"/>
      <c r="AC75"/>
      <c r="AD75"/>
      <c r="AE75"/>
      <c r="AF75"/>
      <c r="AG75"/>
      <c r="AH75"/>
      <c r="AI75"/>
      <c r="AJ75"/>
      <c r="AK75"/>
      <c r="AL75"/>
      <c r="AM75"/>
      <c r="AN75"/>
      <c r="AO75"/>
      <c r="AP75"/>
      <c r="AQ75"/>
    </row>
    <row r="76" spans="7:43">
      <c r="G76"/>
      <c r="H76"/>
      <c r="I76"/>
      <c r="J76"/>
      <c r="K76"/>
      <c r="L76"/>
      <c r="M76"/>
      <c r="N76"/>
      <c r="O76"/>
      <c r="P76"/>
      <c r="Q76"/>
      <c r="R76"/>
      <c r="S76"/>
      <c r="T76"/>
      <c r="U76"/>
      <c r="V76"/>
      <c r="W76"/>
      <c r="X76"/>
      <c r="Y76"/>
      <c r="Z76"/>
      <c r="AA76"/>
      <c r="AB76"/>
      <c r="AC76"/>
      <c r="AD76"/>
      <c r="AE76"/>
      <c r="AF76"/>
      <c r="AG76"/>
      <c r="AH76"/>
      <c r="AI76"/>
      <c r="AJ76"/>
      <c r="AK76"/>
      <c r="AL76"/>
      <c r="AM76"/>
      <c r="AN76"/>
      <c r="AO76"/>
      <c r="AP76"/>
      <c r="AQ76"/>
    </row>
    <row r="77" spans="7:43">
      <c r="G77"/>
      <c r="H77"/>
      <c r="I77"/>
      <c r="J77"/>
      <c r="K77"/>
      <c r="L77"/>
      <c r="M77"/>
      <c r="N77"/>
      <c r="O77"/>
      <c r="P77"/>
      <c r="Q77"/>
      <c r="R77"/>
      <c r="S77"/>
      <c r="T77"/>
      <c r="U77"/>
      <c r="V77"/>
      <c r="W77"/>
      <c r="X77"/>
      <c r="Y77"/>
      <c r="Z77"/>
      <c r="AA77"/>
      <c r="AB77"/>
      <c r="AC77"/>
      <c r="AD77"/>
      <c r="AE77"/>
      <c r="AF77"/>
      <c r="AG77"/>
      <c r="AH77"/>
      <c r="AI77"/>
      <c r="AJ77"/>
      <c r="AK77"/>
      <c r="AL77"/>
      <c r="AM77"/>
      <c r="AN77"/>
      <c r="AO77"/>
      <c r="AP77"/>
      <c r="AQ77"/>
    </row>
    <row r="78" spans="7:43">
      <c r="G78"/>
      <c r="H78"/>
      <c r="I78"/>
      <c r="J78"/>
      <c r="K78"/>
      <c r="L78"/>
      <c r="M78"/>
      <c r="N78"/>
      <c r="O78"/>
      <c r="P78"/>
      <c r="Q78"/>
      <c r="R78"/>
      <c r="S78"/>
      <c r="T78"/>
      <c r="U78"/>
      <c r="V78"/>
      <c r="W78"/>
      <c r="X78"/>
      <c r="Y78"/>
      <c r="Z78"/>
      <c r="AA78"/>
      <c r="AB78"/>
      <c r="AC78"/>
      <c r="AD78"/>
      <c r="AE78"/>
      <c r="AF78"/>
      <c r="AG78"/>
      <c r="AH78"/>
      <c r="AI78"/>
      <c r="AJ78"/>
      <c r="AK78"/>
      <c r="AL78"/>
      <c r="AM78"/>
      <c r="AN78"/>
      <c r="AO78"/>
      <c r="AP78"/>
      <c r="AQ78"/>
    </row>
    <row r="79" spans="7:43">
      <c r="G79"/>
      <c r="H79"/>
      <c r="I79"/>
      <c r="J79"/>
      <c r="K79"/>
      <c r="L79"/>
      <c r="M79"/>
      <c r="N79"/>
      <c r="O79"/>
      <c r="P79"/>
      <c r="Q79"/>
      <c r="R79"/>
      <c r="S79"/>
      <c r="T79"/>
      <c r="U79"/>
      <c r="V79"/>
      <c r="W79"/>
      <c r="X79"/>
      <c r="Y79"/>
      <c r="Z79"/>
      <c r="AA79"/>
      <c r="AB79"/>
      <c r="AC79"/>
      <c r="AD79"/>
      <c r="AE79"/>
      <c r="AF79"/>
      <c r="AG79"/>
      <c r="AH79"/>
      <c r="AI79"/>
      <c r="AJ79"/>
      <c r="AK79"/>
      <c r="AL79"/>
      <c r="AM79"/>
      <c r="AN79"/>
      <c r="AO79"/>
      <c r="AP79"/>
      <c r="AQ79"/>
    </row>
    <row r="80" spans="7:43">
      <c r="G80"/>
      <c r="H80"/>
      <c r="I80"/>
      <c r="J80"/>
      <c r="K80"/>
      <c r="L80"/>
      <c r="M80"/>
      <c r="N80"/>
      <c r="O80"/>
      <c r="P80"/>
      <c r="Q80"/>
      <c r="R80"/>
      <c r="S80"/>
      <c r="T80"/>
      <c r="U80"/>
      <c r="V80"/>
      <c r="W80"/>
      <c r="X80"/>
      <c r="Y80"/>
      <c r="Z80"/>
      <c r="AA80"/>
      <c r="AB80"/>
      <c r="AC80"/>
      <c r="AD80"/>
      <c r="AE80"/>
      <c r="AF80"/>
      <c r="AG80"/>
      <c r="AH80"/>
      <c r="AI80"/>
      <c r="AJ80"/>
      <c r="AK80"/>
      <c r="AL80"/>
      <c r="AM80"/>
      <c r="AN80"/>
      <c r="AO80"/>
      <c r="AP80"/>
      <c r="AQ80"/>
    </row>
    <row r="81" spans="7:43">
      <c r="G81"/>
      <c r="H81"/>
      <c r="I81"/>
      <c r="J81"/>
      <c r="K81"/>
      <c r="L81"/>
      <c r="M81"/>
      <c r="N81"/>
      <c r="O81"/>
      <c r="P81"/>
      <c r="Q81"/>
      <c r="R81"/>
      <c r="S81"/>
      <c r="T81"/>
      <c r="U81"/>
      <c r="V81"/>
      <c r="W81"/>
      <c r="X81"/>
      <c r="Y81"/>
      <c r="Z81"/>
      <c r="AA81"/>
      <c r="AB81"/>
      <c r="AC81"/>
      <c r="AD81"/>
      <c r="AE81"/>
      <c r="AF81"/>
      <c r="AG81"/>
      <c r="AH81"/>
      <c r="AI81"/>
      <c r="AJ81"/>
      <c r="AK81"/>
      <c r="AL81"/>
      <c r="AM81"/>
      <c r="AN81"/>
      <c r="AO81"/>
      <c r="AP81"/>
      <c r="AQ81"/>
    </row>
    <row r="82" spans="7:43">
      <c r="G82"/>
      <c r="H82"/>
      <c r="I82"/>
      <c r="J82"/>
      <c r="K82"/>
      <c r="L82"/>
      <c r="M82"/>
      <c r="N82"/>
      <c r="O82"/>
      <c r="P82"/>
      <c r="Q82"/>
      <c r="R82"/>
      <c r="S82"/>
      <c r="T82"/>
      <c r="U82"/>
      <c r="V82"/>
      <c r="W82"/>
      <c r="X82"/>
      <c r="Y82"/>
      <c r="Z82"/>
      <c r="AA82"/>
      <c r="AB82"/>
      <c r="AC82"/>
      <c r="AD82"/>
      <c r="AE82"/>
      <c r="AF82"/>
      <c r="AG82"/>
      <c r="AH82"/>
      <c r="AI82"/>
      <c r="AJ82"/>
      <c r="AK82"/>
      <c r="AL82"/>
      <c r="AM82"/>
      <c r="AN82"/>
      <c r="AO82"/>
      <c r="AP82"/>
      <c r="AQ82"/>
    </row>
    <row r="83" spans="7:43">
      <c r="G83"/>
      <c r="H83"/>
      <c r="I83"/>
      <c r="J83"/>
      <c r="K83"/>
      <c r="L83"/>
      <c r="M83"/>
      <c r="N83"/>
      <c r="O83"/>
      <c r="P83"/>
      <c r="Q83"/>
      <c r="R83"/>
      <c r="S83"/>
      <c r="T83"/>
      <c r="U83"/>
      <c r="V83"/>
      <c r="W83"/>
      <c r="X83"/>
      <c r="Y83"/>
      <c r="Z83"/>
      <c r="AA83"/>
      <c r="AB83"/>
      <c r="AC83"/>
      <c r="AD83"/>
      <c r="AE83"/>
      <c r="AF83"/>
      <c r="AG83"/>
      <c r="AH83"/>
      <c r="AI83"/>
      <c r="AJ83"/>
      <c r="AK83"/>
      <c r="AL83"/>
      <c r="AM83"/>
      <c r="AN83"/>
      <c r="AO83"/>
      <c r="AP83"/>
      <c r="AQ83"/>
    </row>
    <row r="84" spans="7:43">
      <c r="G84"/>
      <c r="H84"/>
      <c r="I84"/>
      <c r="J84"/>
      <c r="K84"/>
      <c r="L84"/>
      <c r="M84"/>
      <c r="N84"/>
      <c r="O84"/>
      <c r="P84"/>
      <c r="Q84"/>
      <c r="R84"/>
      <c r="S84"/>
      <c r="T84"/>
      <c r="U84"/>
      <c r="V84"/>
      <c r="W84"/>
      <c r="X84"/>
      <c r="Y84"/>
      <c r="Z84"/>
      <c r="AA84"/>
      <c r="AB84"/>
      <c r="AC84"/>
      <c r="AD84"/>
      <c r="AE84"/>
      <c r="AF84"/>
      <c r="AG84"/>
      <c r="AH84"/>
      <c r="AI84"/>
      <c r="AJ84"/>
      <c r="AK84"/>
      <c r="AL84"/>
      <c r="AM84"/>
      <c r="AN84"/>
      <c r="AO84"/>
      <c r="AP84"/>
      <c r="AQ84"/>
    </row>
    <row r="85" spans="7:43">
      <c r="G85"/>
      <c r="H85"/>
      <c r="I85"/>
      <c r="J85"/>
      <c r="K85"/>
      <c r="L85"/>
      <c r="M85"/>
      <c r="N85"/>
      <c r="O85"/>
      <c r="P85"/>
      <c r="Q85"/>
      <c r="R85"/>
      <c r="S85"/>
      <c r="T85"/>
      <c r="U85"/>
      <c r="V85"/>
      <c r="W85"/>
      <c r="X85"/>
      <c r="Y85"/>
      <c r="Z85"/>
      <c r="AA85"/>
      <c r="AB85"/>
      <c r="AC85"/>
      <c r="AD85"/>
      <c r="AE85"/>
      <c r="AF85"/>
      <c r="AG85"/>
      <c r="AH85"/>
      <c r="AI85"/>
      <c r="AJ85"/>
      <c r="AK85"/>
      <c r="AL85"/>
      <c r="AM85"/>
      <c r="AN85"/>
      <c r="AO85"/>
      <c r="AP85"/>
      <c r="AQ85"/>
    </row>
    <row r="86" spans="7:43">
      <c r="G86"/>
      <c r="H86"/>
      <c r="I86"/>
      <c r="J86"/>
      <c r="K86"/>
      <c r="L86"/>
      <c r="M86"/>
      <c r="N86"/>
      <c r="O86"/>
      <c r="P86"/>
      <c r="Q86"/>
      <c r="R86"/>
      <c r="S86"/>
      <c r="T86"/>
      <c r="U86"/>
      <c r="V86"/>
      <c r="W86"/>
      <c r="X86"/>
      <c r="Y86"/>
      <c r="Z86"/>
      <c r="AA86"/>
      <c r="AB86"/>
      <c r="AC86"/>
      <c r="AD86"/>
      <c r="AE86"/>
      <c r="AF86"/>
      <c r="AG86"/>
      <c r="AH86"/>
      <c r="AI86"/>
      <c r="AJ86"/>
      <c r="AK86"/>
      <c r="AL86"/>
      <c r="AM86"/>
      <c r="AN86"/>
      <c r="AO86"/>
      <c r="AP86"/>
      <c r="AQ86"/>
    </row>
    <row r="87" spans="7:43">
      <c r="G87"/>
      <c r="H87"/>
      <c r="I87"/>
      <c r="J87"/>
      <c r="K87"/>
      <c r="L87"/>
      <c r="M87"/>
      <c r="N87"/>
      <c r="O87"/>
      <c r="P87"/>
      <c r="Q87"/>
      <c r="R87"/>
      <c r="S87"/>
      <c r="T87"/>
      <c r="U87"/>
      <c r="V87"/>
      <c r="W87"/>
      <c r="X87"/>
      <c r="Y87"/>
      <c r="Z87"/>
      <c r="AA87"/>
      <c r="AB87"/>
      <c r="AC87"/>
      <c r="AD87"/>
      <c r="AE87"/>
      <c r="AF87"/>
      <c r="AG87"/>
      <c r="AH87"/>
      <c r="AI87"/>
      <c r="AJ87"/>
      <c r="AK87"/>
      <c r="AL87"/>
      <c r="AM87"/>
      <c r="AN87"/>
      <c r="AO87"/>
      <c r="AP87"/>
      <c r="AQ87"/>
    </row>
    <row r="88" spans="7:43">
      <c r="G88"/>
      <c r="H88"/>
      <c r="I88"/>
      <c r="J88"/>
      <c r="K88"/>
      <c r="L88"/>
      <c r="M88"/>
      <c r="N88"/>
      <c r="O88"/>
      <c r="P88"/>
      <c r="Q88"/>
      <c r="R88"/>
      <c r="S88"/>
      <c r="T88"/>
      <c r="U88"/>
      <c r="V88"/>
      <c r="W88"/>
      <c r="X88"/>
      <c r="Y88"/>
      <c r="Z88"/>
      <c r="AA88"/>
      <c r="AB88"/>
      <c r="AC88"/>
      <c r="AD88"/>
      <c r="AE88"/>
      <c r="AF88"/>
      <c r="AG88"/>
      <c r="AH88"/>
      <c r="AI88"/>
      <c r="AJ88"/>
      <c r="AK88"/>
      <c r="AL88"/>
      <c r="AM88"/>
      <c r="AN88"/>
      <c r="AO88"/>
      <c r="AP88"/>
      <c r="AQ88"/>
    </row>
    <row r="89" spans="7:43">
      <c r="G89"/>
      <c r="H89"/>
      <c r="I89"/>
      <c r="J89"/>
      <c r="K89"/>
      <c r="L89"/>
      <c r="M89"/>
      <c r="N89"/>
      <c r="O89"/>
      <c r="P89"/>
      <c r="Q89"/>
      <c r="R89"/>
      <c r="S89"/>
      <c r="T89"/>
      <c r="U89"/>
      <c r="V89"/>
      <c r="W89"/>
      <c r="X89"/>
      <c r="Y89"/>
      <c r="Z89"/>
      <c r="AA89"/>
      <c r="AB89"/>
      <c r="AC89"/>
      <c r="AD89"/>
      <c r="AE89"/>
      <c r="AF89"/>
      <c r="AG89"/>
      <c r="AH89"/>
      <c r="AI89"/>
      <c r="AJ89"/>
      <c r="AK89"/>
      <c r="AL89"/>
      <c r="AM89"/>
      <c r="AN89"/>
      <c r="AO89"/>
      <c r="AP89"/>
      <c r="AQ89"/>
    </row>
    <row r="90" spans="7:43">
      <c r="G90"/>
      <c r="H90"/>
      <c r="I90"/>
      <c r="J90"/>
      <c r="K90"/>
      <c r="L90"/>
      <c r="M90"/>
      <c r="N90"/>
      <c r="O90"/>
      <c r="P90"/>
      <c r="Q90"/>
      <c r="R90"/>
      <c r="S90"/>
      <c r="T90"/>
      <c r="U90"/>
      <c r="V90"/>
      <c r="W90"/>
      <c r="X90"/>
      <c r="Y90"/>
      <c r="Z90"/>
      <c r="AA90"/>
      <c r="AB90"/>
      <c r="AC90"/>
      <c r="AD90"/>
      <c r="AE90"/>
      <c r="AF90"/>
      <c r="AG90"/>
      <c r="AH90"/>
      <c r="AI90"/>
      <c r="AJ90"/>
      <c r="AK90"/>
      <c r="AL90"/>
      <c r="AM90"/>
      <c r="AN90"/>
      <c r="AO90"/>
      <c r="AP90"/>
      <c r="AQ90"/>
    </row>
    <row r="91" spans="7:43">
      <c r="G91"/>
      <c r="H91"/>
      <c r="I91"/>
      <c r="J91"/>
      <c r="K91"/>
      <c r="L91"/>
      <c r="M91"/>
      <c r="N91"/>
      <c r="O91"/>
      <c r="P91"/>
      <c r="Q91"/>
      <c r="R91"/>
      <c r="S91"/>
      <c r="T91"/>
      <c r="U91"/>
      <c r="V91"/>
      <c r="W91"/>
      <c r="X91"/>
      <c r="Y91"/>
      <c r="Z91"/>
      <c r="AA91"/>
      <c r="AB91"/>
      <c r="AC91"/>
      <c r="AD91"/>
      <c r="AE91"/>
      <c r="AF91"/>
      <c r="AG91"/>
      <c r="AH91"/>
      <c r="AI91"/>
      <c r="AJ91"/>
      <c r="AK91"/>
      <c r="AL91"/>
      <c r="AM91"/>
      <c r="AN91"/>
      <c r="AO91"/>
      <c r="AP91"/>
      <c r="AQ91"/>
    </row>
    <row r="92" spans="7:43">
      <c r="G92"/>
      <c r="H92"/>
      <c r="I92"/>
      <c r="J92"/>
      <c r="K92"/>
      <c r="L92"/>
      <c r="M92"/>
      <c r="N92"/>
      <c r="O92"/>
      <c r="P92"/>
      <c r="Q92"/>
      <c r="R92"/>
      <c r="S92"/>
      <c r="T92"/>
      <c r="U92"/>
      <c r="V92"/>
      <c r="W92"/>
      <c r="X92"/>
      <c r="Y92"/>
      <c r="Z92"/>
      <c r="AA92"/>
      <c r="AB92"/>
      <c r="AC92"/>
      <c r="AD92"/>
      <c r="AE92"/>
      <c r="AF92"/>
      <c r="AG92"/>
      <c r="AH92"/>
      <c r="AI92"/>
      <c r="AJ92"/>
      <c r="AK92"/>
      <c r="AL92"/>
      <c r="AM92"/>
      <c r="AN92"/>
      <c r="AO92"/>
      <c r="AP92"/>
      <c r="AQ92"/>
    </row>
    <row r="93" spans="7:43">
      <c r="G93"/>
      <c r="H93"/>
      <c r="I93"/>
      <c r="J93"/>
      <c r="K93"/>
      <c r="L93"/>
      <c r="M93"/>
      <c r="N93"/>
      <c r="O93"/>
      <c r="P93"/>
      <c r="Q93"/>
      <c r="R93"/>
      <c r="S93"/>
      <c r="T93"/>
      <c r="U93"/>
      <c r="V93"/>
      <c r="W93"/>
      <c r="X93"/>
      <c r="Y93"/>
      <c r="Z93"/>
      <c r="AA93"/>
      <c r="AB93"/>
      <c r="AC93"/>
      <c r="AD93"/>
      <c r="AE93"/>
      <c r="AF93"/>
      <c r="AG93"/>
      <c r="AH93"/>
      <c r="AI93"/>
      <c r="AJ93"/>
      <c r="AK93"/>
      <c r="AL93"/>
      <c r="AM93"/>
      <c r="AN93"/>
      <c r="AO93"/>
      <c r="AP93"/>
      <c r="AQ93"/>
    </row>
    <row r="94" spans="7:43">
      <c r="G94"/>
      <c r="H94"/>
      <c r="I94"/>
      <c r="J94"/>
      <c r="K94"/>
      <c r="L94"/>
      <c r="M94"/>
      <c r="N94"/>
      <c r="O94"/>
      <c r="P94"/>
      <c r="Q94"/>
      <c r="R94"/>
      <c r="S94"/>
      <c r="T94"/>
      <c r="U94"/>
      <c r="V94"/>
      <c r="W94"/>
      <c r="X94"/>
      <c r="Y94"/>
      <c r="Z94"/>
      <c r="AA94"/>
      <c r="AB94"/>
      <c r="AC94"/>
      <c r="AD94"/>
      <c r="AE94"/>
      <c r="AF94"/>
      <c r="AG94"/>
      <c r="AH94"/>
      <c r="AI94"/>
      <c r="AJ94"/>
      <c r="AK94"/>
      <c r="AL94"/>
      <c r="AM94"/>
      <c r="AN94"/>
      <c r="AO94"/>
      <c r="AP94"/>
      <c r="AQ94"/>
    </row>
    <row r="95" spans="7:43">
      <c r="G95"/>
      <c r="H95"/>
      <c r="I95"/>
      <c r="J95"/>
      <c r="K95"/>
      <c r="L95"/>
      <c r="M95"/>
      <c r="N95"/>
      <c r="O95"/>
      <c r="P95"/>
      <c r="Q95"/>
      <c r="R95"/>
      <c r="S95"/>
      <c r="T95"/>
      <c r="U95"/>
      <c r="V95"/>
      <c r="W95"/>
      <c r="X95"/>
      <c r="Y95"/>
      <c r="Z95"/>
      <c r="AA95"/>
      <c r="AB95"/>
      <c r="AC95"/>
      <c r="AD95"/>
      <c r="AE95"/>
      <c r="AF95"/>
      <c r="AG95"/>
      <c r="AH95"/>
      <c r="AI95"/>
      <c r="AJ95"/>
      <c r="AK95"/>
      <c r="AL95"/>
      <c r="AM95"/>
      <c r="AN95"/>
      <c r="AO95"/>
      <c r="AP95"/>
      <c r="AQ95"/>
    </row>
    <row r="96" spans="7:43">
      <c r="G96"/>
      <c r="H96"/>
      <c r="I96"/>
      <c r="J96"/>
      <c r="K96"/>
      <c r="L96"/>
      <c r="M96"/>
      <c r="N96"/>
      <c r="O96"/>
      <c r="P96"/>
      <c r="Q96"/>
      <c r="R96"/>
      <c r="S96"/>
      <c r="T96"/>
      <c r="U96"/>
      <c r="V96"/>
      <c r="W96"/>
      <c r="X96"/>
      <c r="Y96"/>
      <c r="Z96"/>
      <c r="AA96"/>
      <c r="AB96"/>
      <c r="AC96"/>
      <c r="AD96"/>
      <c r="AE96"/>
      <c r="AF96"/>
      <c r="AG96"/>
      <c r="AH96"/>
      <c r="AI96"/>
      <c r="AJ96"/>
      <c r="AK96"/>
      <c r="AL96"/>
      <c r="AM96"/>
      <c r="AN96"/>
      <c r="AO96"/>
      <c r="AP96"/>
      <c r="AQ96"/>
    </row>
    <row r="97" spans="7:43">
      <c r="G97"/>
      <c r="H97"/>
      <c r="I97"/>
      <c r="J97"/>
      <c r="K97"/>
      <c r="L97"/>
      <c r="M97"/>
      <c r="N97"/>
      <c r="O97"/>
      <c r="P97"/>
      <c r="Q97"/>
      <c r="R97"/>
      <c r="S97"/>
      <c r="T97"/>
      <c r="U97"/>
      <c r="V97"/>
      <c r="W97"/>
      <c r="X97"/>
      <c r="Y97"/>
      <c r="Z97"/>
      <c r="AA97"/>
      <c r="AB97"/>
      <c r="AC97"/>
      <c r="AD97"/>
      <c r="AE97"/>
      <c r="AF97"/>
      <c r="AG97"/>
      <c r="AH97"/>
      <c r="AI97"/>
      <c r="AJ97"/>
      <c r="AK97"/>
      <c r="AL97"/>
      <c r="AM97"/>
      <c r="AN97"/>
      <c r="AO97"/>
      <c r="AP97"/>
      <c r="AQ97"/>
    </row>
    <row r="98" spans="7:43">
      <c r="G98"/>
      <c r="H98"/>
      <c r="I98"/>
      <c r="J98"/>
      <c r="K98"/>
      <c r="L98"/>
      <c r="M98"/>
      <c r="N98"/>
      <c r="O98"/>
      <c r="P98"/>
      <c r="Q98"/>
      <c r="R98"/>
      <c r="S98"/>
      <c r="T98"/>
      <c r="U98"/>
      <c r="V98"/>
      <c r="W98"/>
      <c r="X98"/>
      <c r="Y98"/>
      <c r="Z98"/>
      <c r="AA98"/>
      <c r="AB98"/>
      <c r="AC98"/>
      <c r="AD98"/>
      <c r="AE98"/>
      <c r="AF98"/>
      <c r="AG98"/>
      <c r="AH98"/>
      <c r="AI98"/>
      <c r="AJ98"/>
      <c r="AK98"/>
      <c r="AL98"/>
      <c r="AM98"/>
      <c r="AN98"/>
      <c r="AO98"/>
      <c r="AP98"/>
      <c r="AQ98"/>
    </row>
    <row r="99" spans="7:43">
      <c r="G99"/>
      <c r="H99"/>
      <c r="I99"/>
      <c r="J99"/>
      <c r="K99"/>
      <c r="L99"/>
      <c r="M99"/>
      <c r="N99"/>
      <c r="O99"/>
      <c r="P99"/>
      <c r="Q99"/>
      <c r="R99"/>
      <c r="S99"/>
      <c r="T99"/>
      <c r="U99"/>
      <c r="V99"/>
      <c r="W99"/>
      <c r="X99"/>
      <c r="Y99"/>
      <c r="Z99"/>
      <c r="AA99"/>
      <c r="AB99"/>
      <c r="AC99"/>
      <c r="AD99"/>
      <c r="AE99"/>
      <c r="AF99"/>
      <c r="AG99"/>
      <c r="AH99"/>
      <c r="AI99"/>
      <c r="AJ99"/>
      <c r="AK99"/>
      <c r="AL99"/>
      <c r="AM99"/>
      <c r="AN99"/>
      <c r="AO99"/>
      <c r="AP99"/>
      <c r="AQ99"/>
    </row>
    <row r="100" spans="7:43">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row>
    <row r="101" spans="7:43">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row>
    <row r="102" spans="7:43">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row>
    <row r="103" spans="7:4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row>
    <row r="104" spans="7:43">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row>
    <row r="105" spans="7:43">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row>
    <row r="106" spans="7:43">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row>
    <row r="107" spans="7:43">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row>
    <row r="108" spans="7:43">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row>
    <row r="109" spans="7:43">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row>
    <row r="110" spans="7:43">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row>
    <row r="111" spans="7:43">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row>
    <row r="112" spans="7:43">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row>
    <row r="113" spans="7:4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row>
    <row r="114" spans="7:43">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row>
    <row r="115" spans="7:43">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row>
    <row r="116" spans="7:43">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row>
    <row r="117" spans="7:43">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row>
    <row r="118" spans="7:43">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row>
    <row r="119" spans="7:43">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row>
    <row r="120" spans="7:43">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row>
    <row r="121" spans="7:43">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row>
    <row r="122" spans="7:43">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row>
    <row r="123" spans="7:4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row>
    <row r="124" spans="7:43">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row>
    <row r="125" spans="7:43">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row>
    <row r="126" spans="7:43">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row>
    <row r="127" spans="7:43">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row>
    <row r="128" spans="7:43">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row>
    <row r="129" spans="7:43">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row>
    <row r="130" spans="7:43">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row>
    <row r="131" spans="7:43">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row>
    <row r="132" spans="7:43">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row>
    <row r="133" spans="7:4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row>
    <row r="134" spans="7:43">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row>
    <row r="135" spans="7:43">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row>
    <row r="136" spans="7:43">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row>
    <row r="137" spans="7:43">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row>
    <row r="138" spans="7:43">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row>
    <row r="139" spans="7:43">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row>
    <row r="140" spans="7:43">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row>
    <row r="141" spans="7:43">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row>
    <row r="142" spans="7:43">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row>
    <row r="143" spans="7: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row>
    <row r="144" spans="7:43">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row>
    <row r="145" spans="7:43">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row>
    <row r="146" spans="7:43">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row>
    <row r="147" spans="7:43">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row>
    <row r="148" spans="7:43">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row>
    <row r="149" spans="7:43">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row>
    <row r="150" spans="7:43">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row>
    <row r="151" spans="7:43">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row>
    <row r="152" spans="7:43">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row>
    <row r="153" spans="7:4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row>
    <row r="154" spans="7:43">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row>
    <row r="155" spans="7:43">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row>
    <row r="156" spans="7:43">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row>
    <row r="157" spans="7:43">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row>
    <row r="158" spans="7:43">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row>
    <row r="159" spans="7:43">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row>
    <row r="160" spans="7:43">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row>
    <row r="161" spans="7:43">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row>
    <row r="162" spans="7:43">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row>
    <row r="163" spans="7:4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row>
    <row r="164" spans="7:43">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row>
    <row r="165" spans="7:43">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row>
    <row r="166" spans="7:43">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row>
    <row r="167" spans="7:43">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row>
    <row r="168" spans="7:43">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row>
    <row r="169" spans="7:43">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row>
    <row r="170" spans="7:43">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row>
    <row r="171" spans="7:43">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row>
    <row r="172" spans="7:43">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row>
    <row r="173" spans="7:4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row>
    <row r="174" spans="7:43">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row>
    <row r="175" spans="7:43">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row>
    <row r="176" spans="7:43">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row>
    <row r="177" spans="7:43">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row>
    <row r="178" spans="7:43">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row>
    <row r="179" spans="7:43">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row>
    <row r="180" spans="7:43">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row>
    <row r="181" spans="7:43">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row>
    <row r="182" spans="7:43">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row>
    <row r="183" spans="7:4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row>
    <row r="184" spans="7:43">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row>
    <row r="185" spans="7:43">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row>
    <row r="186" spans="7:43">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row>
    <row r="187" spans="7:43">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row>
    <row r="188" spans="7:43">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row>
    <row r="189" spans="7:43">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row>
    <row r="190" spans="7:43">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row>
    <row r="191" spans="7:43">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row>
    <row r="192" spans="7:43">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row>
    <row r="193" spans="7:4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row>
    <row r="194" spans="7:43">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row>
    <row r="195" spans="7:43">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row>
    <row r="196" spans="7:43">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row>
    <row r="197" spans="7:43">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row>
    <row r="198" spans="7:43">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row>
    <row r="199" spans="7:43">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row>
    <row r="200" spans="7:43">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row>
    <row r="201" spans="7:43">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row>
    <row r="202" spans="7:43">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row>
    <row r="203" spans="7:4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row>
    <row r="204" spans="7:43">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row>
    <row r="205" spans="7:43">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row>
    <row r="206" spans="7:43">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row>
    <row r="207" spans="7:43">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row>
    <row r="208" spans="7:43">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row>
    <row r="209" spans="7:43">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row>
    <row r="210" spans="7:43">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row>
    <row r="211" spans="7:43">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row>
    <row r="212" spans="7:43">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row>
    <row r="213" spans="7:4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row>
    <row r="214" spans="7:43">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row>
    <row r="215" spans="7:43">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row>
    <row r="216" spans="7:43">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row>
    <row r="217" spans="7:43">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row>
    <row r="218" spans="7:43">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row>
    <row r="219" spans="7:43">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row>
    <row r="220" spans="7:43">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row>
    <row r="221" spans="7:43">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row>
    <row r="222" spans="7:43">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row>
    <row r="223" spans="7:4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row>
    <row r="224" spans="7:43">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row>
    <row r="225" spans="7:43">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row>
    <row r="226" spans="7:43">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row>
    <row r="227" spans="7:43">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row>
    <row r="228" spans="7:43">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row>
    <row r="229" spans="7:43">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row>
    <row r="230" spans="7:43">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row>
    <row r="231" spans="7:43">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row>
    <row r="232" spans="7:43">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row>
    <row r="233" spans="7:4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row>
    <row r="234" spans="7:43">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row>
    <row r="235" spans="7:43">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row>
    <row r="236" spans="7:43">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row>
    <row r="237" spans="7:43">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row>
    <row r="238" spans="7:43">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row>
    <row r="239" spans="7:43">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row>
    <row r="240" spans="7:43">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row>
    <row r="241" spans="7:43">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row>
    <row r="242" spans="7:43">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row>
    <row r="243" spans="7: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row>
    <row r="244" spans="7:43">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row>
    <row r="245" spans="7:43">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row>
    <row r="246" spans="7:43">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row>
    <row r="247" spans="7:43">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row>
    <row r="248" spans="7:43">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row>
    <row r="249" spans="7:43">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row>
    <row r="250" spans="7:43">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row>
    <row r="251" spans="7:43">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row>
    <row r="252" spans="7:43">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row>
    <row r="253" spans="7:4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row>
    <row r="254" spans="7:43">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row>
    <row r="255" spans="7:43">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row>
    <row r="256" spans="7:43">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row>
    <row r="257" spans="7:43">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row>
    <row r="258" spans="7:43">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row>
    <row r="259" spans="7:43">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row>
    <row r="260" spans="7:43">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row>
    <row r="261" spans="7:43">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row>
    <row r="262" spans="7:43">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row>
    <row r="263" spans="7:4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row>
    <row r="264" spans="7:43">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row>
    <row r="265" spans="7:43">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row>
    <row r="266" spans="7:43">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row>
    <row r="267" spans="7:43">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row>
    <row r="268" spans="7:43">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row>
    <row r="269" spans="7:43">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row>
    <row r="270" spans="7:43">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row>
    <row r="271" spans="7:43">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row>
    <row r="272" spans="7:43">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row>
    <row r="273" spans="7:4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row>
    <row r="274" spans="7:43">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row>
    <row r="275" spans="7:43">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row>
    <row r="276" spans="7:43">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row>
    <row r="277" spans="7:43">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row>
    <row r="278" spans="7:43">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row>
    <row r="279" spans="7:43">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row>
    <row r="280" spans="7:43">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row>
    <row r="281" spans="7:43">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row>
    <row r="282" spans="7:43">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row>
    <row r="283" spans="7:4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row>
    <row r="284" spans="7:43">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row>
    <row r="285" spans="7:43">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row>
    <row r="286" spans="7:43">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row>
    <row r="287" spans="7:43">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row>
    <row r="288" spans="7:43">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row>
    <row r="289" spans="7:43">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row>
    <row r="290" spans="7:43">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row>
    <row r="291" spans="7:43">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row>
    <row r="292" spans="7:43">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row>
    <row r="293" spans="7:4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row>
    <row r="294" spans="7:43">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row>
    <row r="295" spans="7:43">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row>
    <row r="296" spans="7:43">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row>
    <row r="297" spans="7:43">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row>
    <row r="298" spans="7:43">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row>
    <row r="299" spans="7:43">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row>
    <row r="300" spans="7:43">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row>
    <row r="301" spans="7:43">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row>
    <row r="302" spans="7:43">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row>
    <row r="303" spans="7:4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row>
    <row r="304" spans="7:43">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row>
    <row r="305" spans="7:43">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row>
    <row r="306" spans="7:43">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row>
    <row r="307" spans="7:43">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row>
    <row r="308" spans="7:43">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row>
    <row r="309" spans="7:43">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row>
    <row r="310" spans="7:43">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row>
    <row r="311" spans="7:43">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row>
    <row r="312" spans="7:43">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row>
    <row r="313" spans="7:4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row>
    <row r="314" spans="7:43">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row>
    <row r="315" spans="7:43">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row>
    <row r="316" spans="7:43">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row>
    <row r="317" spans="7:43">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row>
    <row r="318" spans="7:43">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row>
    <row r="319" spans="7:43">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row>
    <row r="320" spans="7:43">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row>
    <row r="321" spans="7:43">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row>
    <row r="322" spans="7:43">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row>
    <row r="323" spans="7:4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row>
    <row r="324" spans="7:43">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row>
    <row r="325" spans="7:43">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row>
    <row r="326" spans="7:43">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row>
    <row r="327" spans="7:43">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row>
    <row r="328" spans="7:43">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row>
    <row r="329" spans="7:43">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row>
    <row r="330" spans="7:43">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row>
    <row r="331" spans="7:43">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row>
    <row r="332" spans="7:43">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row>
    <row r="333" spans="7:4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row>
    <row r="334" spans="7:43">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row>
    <row r="335" spans="7:43">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row>
    <row r="336" spans="7:43">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row>
    <row r="337" spans="7:43">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row>
    <row r="338" spans="7:43">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row>
  </sheetData>
  <mergeCells count="3">
    <mergeCell ref="D4:E4"/>
    <mergeCell ref="B2:C2"/>
    <mergeCell ref="B3:D3"/>
  </mergeCells>
  <phoneticPr fontId="0" type="noConversion"/>
  <printOptions horizontalCentered="1" verticalCentered="1"/>
  <pageMargins left="0.59055118110236227" right="0" top="7.874015748031496E-2" bottom="0" header="3.937007874015748E-2" footer="0"/>
  <pageSetup paperSize="9" scale="78" orientation="portrait" r:id="rId1"/>
  <headerFooter alignWithMargins="0">
    <oddFooter>&amp;R&amp;14 1</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3:I38"/>
  <sheetViews>
    <sheetView topLeftCell="A23" zoomScaleNormal="100" workbookViewId="0">
      <selection activeCell="A3" sqref="A3:I38"/>
    </sheetView>
  </sheetViews>
  <sheetFormatPr defaultRowHeight="12.75"/>
  <cols>
    <col min="1" max="1" width="5.1640625" style="52" bestFit="1" customWidth="1"/>
    <col min="2" max="2" width="53.1640625" style="52" customWidth="1"/>
    <col min="3" max="3" width="22" style="52" customWidth="1"/>
    <col min="4" max="4" width="3.1640625" style="179" customWidth="1"/>
    <col min="5" max="5" width="19.6640625" style="52" customWidth="1"/>
    <col min="6" max="6" width="3.6640625" style="52" customWidth="1"/>
    <col min="7" max="7" width="15.83203125" style="52" customWidth="1"/>
    <col min="8" max="8" width="2" style="52" customWidth="1"/>
    <col min="9" max="9" width="15.5" style="52" bestFit="1" customWidth="1"/>
    <col min="10" max="16384" width="9.33203125" style="52"/>
  </cols>
  <sheetData>
    <row r="3" spans="1:9" ht="18.75">
      <c r="A3" s="151">
        <v>23</v>
      </c>
      <c r="B3" s="152" t="s">
        <v>175</v>
      </c>
      <c r="C3" s="152"/>
      <c r="D3" s="152"/>
      <c r="E3" s="152"/>
    </row>
    <row r="4" spans="1:9" ht="18.75">
      <c r="A4" s="151"/>
      <c r="B4" s="152"/>
      <c r="C4" s="152"/>
      <c r="D4" s="152"/>
      <c r="E4" s="152"/>
    </row>
    <row r="5" spans="1:9" ht="15.75">
      <c r="B5" s="53" t="s">
        <v>225</v>
      </c>
      <c r="C5" s="53"/>
      <c r="D5" s="238"/>
      <c r="E5" s="53"/>
    </row>
    <row r="6" spans="1:9" ht="15.75">
      <c r="B6" s="53"/>
      <c r="C6" s="646" t="s">
        <v>1</v>
      </c>
      <c r="D6" s="646"/>
      <c r="E6" s="646"/>
      <c r="G6" s="646" t="s">
        <v>2</v>
      </c>
      <c r="H6" s="646"/>
      <c r="I6" s="646"/>
    </row>
    <row r="7" spans="1:9" ht="15">
      <c r="B7" s="156" t="s">
        <v>215</v>
      </c>
      <c r="C7" s="234">
        <v>2002</v>
      </c>
      <c r="D7" s="236"/>
      <c r="E7" s="234">
        <v>2001</v>
      </c>
      <c r="G7" s="234">
        <v>2002</v>
      </c>
      <c r="H7" s="190"/>
      <c r="I7" s="234">
        <v>2001</v>
      </c>
    </row>
    <row r="8" spans="1:9" ht="15">
      <c r="B8" s="156"/>
      <c r="C8" s="210" t="s">
        <v>378</v>
      </c>
      <c r="D8" s="236"/>
      <c r="E8" s="210" t="s">
        <v>378</v>
      </c>
      <c r="F8" s="179"/>
      <c r="G8" s="210" t="s">
        <v>378</v>
      </c>
      <c r="H8" s="236"/>
      <c r="I8" s="210" t="s">
        <v>378</v>
      </c>
    </row>
    <row r="10" spans="1:9">
      <c r="B10" s="297" t="s">
        <v>216</v>
      </c>
      <c r="C10" s="298">
        <v>56671190.270000003</v>
      </c>
      <c r="D10" s="299"/>
      <c r="E10" s="298">
        <v>118871481.15000001</v>
      </c>
      <c r="F10" s="297"/>
      <c r="G10" s="300">
        <v>258555960.53</v>
      </c>
      <c r="H10" s="297"/>
      <c r="I10" s="300">
        <v>371588302.82999998</v>
      </c>
    </row>
    <row r="11" spans="1:9">
      <c r="B11" s="297" t="s">
        <v>101</v>
      </c>
      <c r="C11" s="298">
        <v>93616608.209999993</v>
      </c>
      <c r="D11" s="299"/>
      <c r="E11" s="298">
        <v>111802579.36</v>
      </c>
      <c r="F11" s="297"/>
      <c r="G11" s="300">
        <v>93497019.069999993</v>
      </c>
      <c r="H11" s="297"/>
      <c r="I11" s="300">
        <v>105642954.93000001</v>
      </c>
    </row>
    <row r="12" spans="1:9" ht="27.75" customHeight="1">
      <c r="B12" s="301" t="s">
        <v>102</v>
      </c>
      <c r="C12" s="302">
        <v>7237858.4900000002</v>
      </c>
      <c r="D12" s="303"/>
      <c r="E12" s="302">
        <v>6679814.5800000001</v>
      </c>
      <c r="F12" s="297"/>
      <c r="G12" s="300">
        <v>6679966.1200000001</v>
      </c>
      <c r="H12" s="297"/>
      <c r="I12" s="300">
        <v>6679814.5800000001</v>
      </c>
    </row>
    <row r="13" spans="1:9">
      <c r="B13" s="297" t="s">
        <v>217</v>
      </c>
      <c r="C13" s="304">
        <v>1238813.3500000001</v>
      </c>
      <c r="D13" s="299"/>
      <c r="E13" s="304">
        <v>6795320.75</v>
      </c>
      <c r="F13" s="297"/>
      <c r="G13" s="300">
        <v>557892.37</v>
      </c>
      <c r="H13" s="297"/>
      <c r="I13" s="300">
        <v>432386.82</v>
      </c>
    </row>
    <row r="14" spans="1:9" ht="18.75" customHeight="1">
      <c r="C14" s="165">
        <f>SUM(C10:C13)</f>
        <v>158764470.31999999</v>
      </c>
      <c r="D14" s="166"/>
      <c r="E14" s="165">
        <f>SUM(E10:E13)</f>
        <v>244149195.84</v>
      </c>
      <c r="G14" s="158">
        <f>SUM(G10:G13)</f>
        <v>359290838.09000003</v>
      </c>
      <c r="I14" s="158">
        <f>SUM(I10:I13)</f>
        <v>484343459.15999997</v>
      </c>
    </row>
    <row r="15" spans="1:9">
      <c r="G15" s="157"/>
      <c r="H15" s="157"/>
    </row>
    <row r="16" spans="1:9" ht="76.5" customHeight="1">
      <c r="B16" s="647" t="s">
        <v>6</v>
      </c>
      <c r="C16" s="647"/>
      <c r="D16" s="647"/>
      <c r="E16" s="647"/>
      <c r="F16" s="647"/>
      <c r="G16" s="647"/>
      <c r="H16" s="647"/>
      <c r="I16" s="647"/>
    </row>
    <row r="17" spans="2:9" ht="15.75">
      <c r="B17" s="132" t="s">
        <v>214</v>
      </c>
      <c r="C17" s="132"/>
      <c r="D17" s="132"/>
      <c r="E17" s="132"/>
    </row>
    <row r="19" spans="2:9" ht="15">
      <c r="B19" s="156" t="s">
        <v>238</v>
      </c>
      <c r="C19" s="156"/>
      <c r="D19" s="239"/>
      <c r="E19" s="156"/>
    </row>
    <row r="21" spans="2:9" ht="22.5" customHeight="1">
      <c r="B21" s="648" t="s">
        <v>311</v>
      </c>
      <c r="C21" s="648"/>
      <c r="D21" s="648"/>
      <c r="E21" s="648"/>
      <c r="F21" s="648"/>
      <c r="G21" s="648"/>
      <c r="H21" s="648"/>
      <c r="I21" s="648"/>
    </row>
    <row r="22" spans="2:9" ht="22.5" customHeight="1">
      <c r="B22" s="206"/>
      <c r="C22" s="206"/>
      <c r="D22" s="240"/>
      <c r="E22" s="206"/>
      <c r="F22" s="206"/>
      <c r="G22" s="206"/>
      <c r="H22" s="206"/>
      <c r="I22" s="206"/>
    </row>
    <row r="23" spans="2:9" ht="15.75">
      <c r="C23" s="646" t="s">
        <v>1</v>
      </c>
      <c r="D23" s="646"/>
      <c r="E23" s="646"/>
      <c r="G23" s="646" t="s">
        <v>2</v>
      </c>
      <c r="H23" s="646"/>
      <c r="I23" s="646"/>
    </row>
    <row r="24" spans="2:9" ht="14.25">
      <c r="C24" s="234">
        <v>2002</v>
      </c>
      <c r="D24" s="236"/>
      <c r="E24" s="234">
        <v>2001</v>
      </c>
      <c r="G24" s="234">
        <v>2002</v>
      </c>
      <c r="H24" s="190"/>
      <c r="I24" s="234">
        <v>2001</v>
      </c>
    </row>
    <row r="25" spans="2:9" ht="14.25">
      <c r="C25" s="235" t="s">
        <v>378</v>
      </c>
      <c r="D25" s="235"/>
      <c r="E25" s="235" t="s">
        <v>378</v>
      </c>
      <c r="F25" s="235"/>
      <c r="G25" s="235" t="s">
        <v>378</v>
      </c>
      <c r="H25" s="235"/>
      <c r="I25" s="235" t="s">
        <v>378</v>
      </c>
    </row>
    <row r="26" spans="2:9">
      <c r="B26" s="297" t="s">
        <v>265</v>
      </c>
      <c r="C26" s="305">
        <v>136000000</v>
      </c>
      <c r="D26" s="306"/>
      <c r="E26" s="305">
        <v>133000000</v>
      </c>
      <c r="F26" s="307"/>
      <c r="G26" s="305">
        <v>52200000</v>
      </c>
      <c r="H26" s="307"/>
      <c r="I26" s="305">
        <v>49000000</v>
      </c>
    </row>
    <row r="27" spans="2:9">
      <c r="C27" s="188"/>
      <c r="D27" s="188"/>
      <c r="E27" s="167"/>
      <c r="F27" s="167"/>
      <c r="G27" s="167"/>
      <c r="H27" s="167"/>
      <c r="I27" s="167"/>
    </row>
    <row r="29" spans="2:9" ht="15">
      <c r="B29" s="156" t="s">
        <v>312</v>
      </c>
      <c r="C29" s="156"/>
      <c r="D29" s="239"/>
      <c r="E29" s="156"/>
    </row>
    <row r="30" spans="2:9" ht="15">
      <c r="B30" s="156"/>
      <c r="C30" s="156"/>
      <c r="D30" s="239"/>
      <c r="E30" s="156"/>
    </row>
    <row r="31" spans="2:9" ht="15.75">
      <c r="C31" s="179"/>
      <c r="E31" s="179"/>
      <c r="G31" s="646" t="s">
        <v>1</v>
      </c>
      <c r="H31" s="646"/>
      <c r="I31" s="646"/>
    </row>
    <row r="32" spans="2:9" ht="14.25">
      <c r="C32" s="210"/>
      <c r="D32" s="236"/>
      <c r="E32" s="210"/>
      <c r="G32" s="234">
        <v>2002</v>
      </c>
      <c r="H32" s="190"/>
      <c r="I32" s="234">
        <v>2001</v>
      </c>
    </row>
    <row r="33" spans="2:9" ht="14.25">
      <c r="C33" s="235"/>
      <c r="E33" s="235"/>
      <c r="F33" s="179"/>
      <c r="G33" s="235" t="s">
        <v>30</v>
      </c>
      <c r="H33" s="179"/>
      <c r="I33" s="235" t="s">
        <v>30</v>
      </c>
    </row>
    <row r="34" spans="2:9" ht="14.25">
      <c r="C34" s="235"/>
      <c r="E34" s="235"/>
      <c r="F34" s="179"/>
      <c r="G34" s="235"/>
      <c r="H34" s="179"/>
      <c r="I34" s="235"/>
    </row>
    <row r="35" spans="2:9">
      <c r="B35" s="52" t="s">
        <v>86</v>
      </c>
      <c r="C35" s="179"/>
      <c r="E35" s="179"/>
      <c r="G35" s="308">
        <v>4868391</v>
      </c>
      <c r="H35" s="308"/>
      <c r="I35" s="308">
        <v>7122919</v>
      </c>
    </row>
    <row r="36" spans="2:9">
      <c r="B36" s="52" t="s">
        <v>87</v>
      </c>
      <c r="C36" s="179"/>
      <c r="E36" s="179"/>
      <c r="G36" s="308">
        <v>7425092</v>
      </c>
      <c r="H36" s="308"/>
      <c r="I36" s="308">
        <v>8643834</v>
      </c>
    </row>
    <row r="37" spans="2:9">
      <c r="B37" s="52" t="s">
        <v>239</v>
      </c>
      <c r="C37" s="179"/>
      <c r="E37" s="179"/>
      <c r="G37" s="308">
        <v>4797828</v>
      </c>
      <c r="H37" s="308"/>
      <c r="I37" s="308">
        <v>5723452</v>
      </c>
    </row>
    <row r="38" spans="2:9" ht="30" customHeight="1">
      <c r="C38" s="179"/>
      <c r="E38" s="179"/>
      <c r="G38" s="309">
        <f>G35+G36+G37</f>
        <v>17091311</v>
      </c>
      <c r="H38" s="310"/>
      <c r="I38" s="309">
        <f>SUM(I35:I37)</f>
        <v>21490205</v>
      </c>
    </row>
  </sheetData>
  <mergeCells count="7">
    <mergeCell ref="G31:I31"/>
    <mergeCell ref="B16:I16"/>
    <mergeCell ref="B21:I21"/>
    <mergeCell ref="G6:I6"/>
    <mergeCell ref="C6:E6"/>
    <mergeCell ref="C23:E23"/>
    <mergeCell ref="G23:I23"/>
  </mergeCells>
  <phoneticPr fontId="0" type="noConversion"/>
  <printOptions horizontalCentered="1"/>
  <pageMargins left="0.73619999999999997" right="0" top="0.98419999999999996" bottom="0.16" header="0.433" footer="0"/>
  <pageSetup paperSize="9" scale="74" orientation="portrait" draft="1" r:id="rId1"/>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E91"/>
  <sheetViews>
    <sheetView topLeftCell="A29" zoomScaleNormal="100" zoomScaleSheetLayoutView="75" workbookViewId="0">
      <selection activeCell="A51" sqref="A51"/>
    </sheetView>
  </sheetViews>
  <sheetFormatPr defaultColWidth="10.6640625" defaultRowHeight="15"/>
  <cols>
    <col min="1" max="1" width="6.5" style="155" bestFit="1" customWidth="1"/>
    <col min="2" max="2" width="58.83203125" style="155" customWidth="1"/>
    <col min="3" max="3" width="0.6640625" style="155" customWidth="1"/>
    <col min="4" max="4" width="17" style="155" customWidth="1"/>
    <col min="5" max="5" width="1.1640625" style="137" customWidth="1"/>
    <col min="6" max="6" width="16.6640625" style="155" bestFit="1" customWidth="1"/>
    <col min="7" max="7" width="1.1640625" style="137" customWidth="1"/>
    <col min="8" max="8" width="18.5" style="155" bestFit="1" customWidth="1"/>
    <col min="9" max="9" width="1.1640625" style="137" customWidth="1"/>
    <col min="10" max="10" width="23.6640625" style="155" customWidth="1"/>
    <col min="11" max="11" width="1.1640625" style="137" customWidth="1"/>
    <col min="12" max="12" width="27.33203125" style="155" customWidth="1"/>
    <col min="13" max="13" width="1.1640625" style="137" customWidth="1"/>
    <col min="14" max="14" width="30.5" style="155" customWidth="1"/>
    <col min="15" max="15" width="1.1640625" style="137" customWidth="1"/>
    <col min="16" max="16" width="31" style="155" customWidth="1"/>
    <col min="17" max="17" width="1.1640625" style="137" customWidth="1"/>
    <col min="18" max="18" width="23.5" style="155" customWidth="1"/>
    <col min="19" max="19" width="1.1640625" style="137" customWidth="1"/>
    <col min="20" max="20" width="25.83203125" style="137" customWidth="1"/>
    <col min="21" max="21" width="1.1640625" style="137" customWidth="1"/>
    <col min="22" max="22" width="18.1640625" style="137" customWidth="1"/>
    <col min="23" max="23" width="1.1640625" style="137" customWidth="1"/>
    <col min="24" max="24" width="28" style="155" customWidth="1"/>
    <col min="25" max="25" width="8.83203125" style="155" customWidth="1"/>
    <col min="26" max="31" width="17.83203125" style="155" customWidth="1"/>
    <col min="32" max="16384" width="10.6640625" style="155"/>
  </cols>
  <sheetData>
    <row r="1" spans="1:31">
      <c r="B1" s="159"/>
      <c r="C1" s="159"/>
      <c r="D1" s="77"/>
      <c r="E1" s="77"/>
      <c r="F1" s="77"/>
      <c r="G1" s="77"/>
      <c r="H1" s="77"/>
      <c r="I1" s="77"/>
      <c r="J1" s="77"/>
      <c r="K1" s="77"/>
      <c r="L1" s="73"/>
      <c r="M1" s="73"/>
      <c r="N1" s="77"/>
      <c r="O1" s="77"/>
      <c r="P1" s="77"/>
      <c r="Q1" s="77"/>
      <c r="R1" s="77"/>
      <c r="S1" s="77"/>
      <c r="T1" s="77"/>
      <c r="U1" s="77"/>
      <c r="V1" s="77"/>
      <c r="W1" s="77"/>
      <c r="X1" s="77"/>
      <c r="Y1" s="77"/>
      <c r="Z1" s="77"/>
      <c r="AA1" s="73"/>
    </row>
    <row r="3" spans="1:31" ht="20.25">
      <c r="A3" s="352">
        <v>25</v>
      </c>
      <c r="B3" s="352" t="s">
        <v>183</v>
      </c>
      <c r="C3" s="109"/>
    </row>
    <row r="4" spans="1:31" ht="25.5">
      <c r="A4" s="163"/>
      <c r="B4" s="237" t="s">
        <v>187</v>
      </c>
      <c r="C4" s="109"/>
    </row>
    <row r="5" spans="1:31" s="114" customFormat="1" ht="104.25" customHeight="1">
      <c r="A5" s="180"/>
      <c r="B5" s="360" t="s">
        <v>1</v>
      </c>
      <c r="C5" s="361"/>
      <c r="D5" s="362" t="s">
        <v>185</v>
      </c>
      <c r="E5" s="362"/>
      <c r="F5" s="362" t="s">
        <v>184</v>
      </c>
      <c r="G5" s="362"/>
      <c r="H5" s="362" t="s">
        <v>219</v>
      </c>
      <c r="I5" s="362"/>
      <c r="J5" s="362" t="s">
        <v>221</v>
      </c>
      <c r="K5" s="362"/>
      <c r="L5" s="362" t="s">
        <v>178</v>
      </c>
      <c r="M5" s="362"/>
      <c r="N5" s="362" t="s">
        <v>236</v>
      </c>
      <c r="O5" s="362"/>
      <c r="P5" s="362" t="s">
        <v>220</v>
      </c>
      <c r="Q5" s="362"/>
      <c r="R5" s="362" t="s">
        <v>237</v>
      </c>
      <c r="S5" s="362"/>
      <c r="T5" s="362" t="s">
        <v>73</v>
      </c>
      <c r="U5" s="362"/>
      <c r="V5" s="362" t="s">
        <v>339</v>
      </c>
      <c r="W5" s="362"/>
      <c r="X5" s="363" t="s">
        <v>269</v>
      </c>
      <c r="Y5" s="149"/>
      <c r="Z5" s="149"/>
      <c r="AA5" s="149"/>
      <c r="AB5" s="149"/>
      <c r="AC5" s="149"/>
      <c r="AD5" s="149"/>
      <c r="AE5" s="149"/>
    </row>
    <row r="6" spans="1:31" s="114" customFormat="1">
      <c r="B6" s="160"/>
      <c r="C6" s="160"/>
      <c r="D6" s="649"/>
      <c r="E6" s="649"/>
      <c r="F6" s="649"/>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row>
    <row r="7" spans="1:31" s="137" customFormat="1" ht="27.75" customHeight="1">
      <c r="B7" s="139" t="s">
        <v>226</v>
      </c>
      <c r="C7" s="139"/>
      <c r="D7" s="88">
        <v>23609518</v>
      </c>
      <c r="E7" s="88"/>
      <c r="F7" s="88">
        <v>1799430</v>
      </c>
      <c r="G7" s="88"/>
      <c r="H7" s="88">
        <v>74671961</v>
      </c>
      <c r="I7" s="88"/>
      <c r="J7" s="88">
        <v>129124929</v>
      </c>
      <c r="K7" s="88"/>
      <c r="L7" s="88">
        <v>578938</v>
      </c>
      <c r="M7" s="88"/>
      <c r="N7" s="88">
        <v>14224225</v>
      </c>
      <c r="O7" s="88"/>
      <c r="P7" s="88">
        <v>2167884</v>
      </c>
      <c r="Q7" s="88"/>
      <c r="R7" s="88">
        <v>0</v>
      </c>
      <c r="S7" s="88"/>
      <c r="T7" s="88">
        <v>-27486292</v>
      </c>
      <c r="U7" s="88"/>
      <c r="V7" s="88">
        <v>0</v>
      </c>
      <c r="W7" s="88"/>
      <c r="X7" s="88">
        <f>SUM(D7:W7)</f>
        <v>218690593</v>
      </c>
      <c r="Y7" s="77"/>
      <c r="Z7" s="77"/>
      <c r="AA7" s="77"/>
      <c r="AB7" s="77"/>
      <c r="AC7" s="77"/>
      <c r="AD7" s="77"/>
      <c r="AE7" s="77"/>
    </row>
    <row r="8" spans="1:31" s="137" customFormat="1" ht="17.25" hidden="1" customHeight="1">
      <c r="B8" s="356" t="s">
        <v>371</v>
      </c>
      <c r="C8" s="356"/>
      <c r="D8" s="87"/>
      <c r="E8" s="87"/>
      <c r="F8" s="87"/>
      <c r="G8" s="87"/>
      <c r="H8" s="87"/>
      <c r="I8" s="87"/>
      <c r="J8" s="87"/>
      <c r="K8" s="87"/>
      <c r="L8" s="87"/>
      <c r="M8" s="87"/>
      <c r="N8" s="87"/>
      <c r="O8" s="87"/>
      <c r="P8" s="87"/>
      <c r="Q8" s="87"/>
      <c r="R8" s="87"/>
      <c r="S8" s="87"/>
      <c r="T8" s="87"/>
      <c r="U8" s="87"/>
      <c r="V8" s="87"/>
      <c r="W8" s="87"/>
      <c r="X8" s="88">
        <f>SUM(D8:R8)</f>
        <v>0</v>
      </c>
      <c r="Y8" s="154"/>
      <c r="Z8" s="154"/>
      <c r="AA8" s="154"/>
      <c r="AB8" s="154"/>
      <c r="AC8" s="154"/>
      <c r="AD8" s="154"/>
      <c r="AE8" s="154"/>
    </row>
    <row r="9" spans="1:31" s="137" customFormat="1" ht="17.25" hidden="1" customHeight="1">
      <c r="B9" s="356"/>
      <c r="C9" s="356"/>
      <c r="D9" s="87"/>
      <c r="E9" s="87"/>
      <c r="F9" s="87"/>
      <c r="G9" s="87"/>
      <c r="H9" s="87"/>
      <c r="I9" s="87"/>
      <c r="J9" s="87"/>
      <c r="K9" s="87"/>
      <c r="L9" s="87"/>
      <c r="M9" s="87"/>
      <c r="N9" s="87"/>
      <c r="O9" s="87"/>
      <c r="P9" s="87"/>
      <c r="Q9" s="87"/>
      <c r="R9" s="87"/>
      <c r="S9" s="87"/>
      <c r="T9" s="87"/>
      <c r="U9" s="87"/>
      <c r="V9" s="87"/>
      <c r="W9" s="87"/>
      <c r="X9" s="88"/>
      <c r="Y9" s="154"/>
      <c r="Z9" s="154"/>
      <c r="AA9" s="154"/>
      <c r="AB9" s="154"/>
      <c r="AC9" s="154"/>
      <c r="AD9" s="154"/>
      <c r="AE9" s="154"/>
    </row>
    <row r="10" spans="1:31" s="137" customFormat="1" ht="17.25" customHeight="1">
      <c r="B10" s="356" t="s">
        <v>338</v>
      </c>
      <c r="C10" s="356"/>
      <c r="D10" s="87">
        <v>0</v>
      </c>
      <c r="E10" s="87"/>
      <c r="F10" s="87">
        <v>0</v>
      </c>
      <c r="G10" s="87"/>
      <c r="H10" s="87">
        <v>0</v>
      </c>
      <c r="I10" s="87"/>
      <c r="J10" s="87">
        <v>0</v>
      </c>
      <c r="K10" s="87"/>
      <c r="L10" s="87">
        <v>0</v>
      </c>
      <c r="M10" s="87"/>
      <c r="N10" s="87">
        <v>0</v>
      </c>
      <c r="O10" s="87"/>
      <c r="P10" s="87">
        <v>0</v>
      </c>
      <c r="Q10" s="87"/>
      <c r="R10" s="87">
        <v>0</v>
      </c>
      <c r="S10" s="87"/>
      <c r="T10" s="87">
        <v>0</v>
      </c>
      <c r="U10" s="87"/>
      <c r="V10" s="87">
        <v>3573708</v>
      </c>
      <c r="W10" s="87"/>
      <c r="X10" s="88">
        <f t="shared" ref="X10:X17" si="0">SUM(D10:W10)</f>
        <v>3573708</v>
      </c>
      <c r="Y10" s="154"/>
      <c r="Z10" s="154"/>
      <c r="AA10" s="154"/>
      <c r="AB10" s="154"/>
      <c r="AC10" s="154"/>
      <c r="AD10" s="154"/>
      <c r="AE10" s="154"/>
    </row>
    <row r="11" spans="1:31" s="137" customFormat="1" ht="17.25" customHeight="1">
      <c r="B11" s="317" t="s">
        <v>227</v>
      </c>
      <c r="C11" s="356"/>
      <c r="D11" s="364">
        <v>0</v>
      </c>
      <c r="E11" s="87"/>
      <c r="F11" s="364">
        <v>0</v>
      </c>
      <c r="G11" s="87"/>
      <c r="H11" s="364">
        <v>-16077918</v>
      </c>
      <c r="I11" s="87"/>
      <c r="J11" s="364">
        <v>24743895</v>
      </c>
      <c r="K11" s="87"/>
      <c r="L11" s="364">
        <v>-578938</v>
      </c>
      <c r="M11" s="87"/>
      <c r="N11" s="364">
        <v>-14224225</v>
      </c>
      <c r="O11" s="87"/>
      <c r="P11" s="364">
        <v>-2167884</v>
      </c>
      <c r="Q11" s="87"/>
      <c r="R11" s="364">
        <v>0</v>
      </c>
      <c r="S11" s="87"/>
      <c r="T11" s="364">
        <v>49152003</v>
      </c>
      <c r="U11" s="87"/>
      <c r="V11" s="364">
        <v>0</v>
      </c>
      <c r="W11" s="87"/>
      <c r="X11" s="353">
        <f t="shared" si="0"/>
        <v>40846933</v>
      </c>
      <c r="Y11" s="154"/>
      <c r="Z11" s="154"/>
      <c r="AA11" s="154"/>
      <c r="AB11" s="154"/>
      <c r="AC11" s="154"/>
      <c r="AD11" s="154"/>
      <c r="AE11" s="154"/>
    </row>
    <row r="12" spans="1:31" s="137" customFormat="1" ht="29.25" customHeight="1">
      <c r="B12" s="139" t="s">
        <v>235</v>
      </c>
      <c r="C12" s="139"/>
      <c r="D12" s="88">
        <f>SUM(D7:D11)</f>
        <v>23609518</v>
      </c>
      <c r="E12" s="88"/>
      <c r="F12" s="88">
        <f>SUM(F7:F11)</f>
        <v>1799430</v>
      </c>
      <c r="G12" s="88"/>
      <c r="H12" s="88">
        <f>SUM(H7:H11)</f>
        <v>58594043</v>
      </c>
      <c r="I12" s="88"/>
      <c r="J12" s="88">
        <f>SUM(J7:J11)</f>
        <v>153868824</v>
      </c>
      <c r="K12" s="88"/>
      <c r="L12" s="88">
        <f>SUM(L7:L11)</f>
        <v>0</v>
      </c>
      <c r="M12" s="88"/>
      <c r="N12" s="88">
        <f>SUM(N7:N11)</f>
        <v>0</v>
      </c>
      <c r="O12" s="88"/>
      <c r="P12" s="88">
        <f>SUM(P7:P11)</f>
        <v>0</v>
      </c>
      <c r="Q12" s="88"/>
      <c r="R12" s="88">
        <f>SUM(R7:R11)</f>
        <v>0</v>
      </c>
      <c r="S12" s="88"/>
      <c r="T12" s="88">
        <f>SUM(T7:T11)</f>
        <v>21665711</v>
      </c>
      <c r="U12" s="88"/>
      <c r="V12" s="88">
        <f>SUM(V7:V11)</f>
        <v>3573708</v>
      </c>
      <c r="W12" s="88"/>
      <c r="X12" s="88">
        <f t="shared" si="0"/>
        <v>263111234</v>
      </c>
      <c r="Y12" s="77"/>
      <c r="Z12" s="77"/>
      <c r="AA12" s="77"/>
      <c r="AB12" s="77"/>
      <c r="AC12" s="77"/>
      <c r="AD12" s="77"/>
      <c r="AE12" s="77"/>
    </row>
    <row r="13" spans="1:31" s="137" customFormat="1" ht="17.25" customHeight="1">
      <c r="B13" s="317" t="s">
        <v>228</v>
      </c>
      <c r="C13" s="356"/>
      <c r="D13" s="87">
        <v>5085675</v>
      </c>
      <c r="E13" s="87"/>
      <c r="F13" s="87">
        <v>926405</v>
      </c>
      <c r="G13" s="87"/>
      <c r="H13" s="87">
        <v>35268417</v>
      </c>
      <c r="I13" s="87"/>
      <c r="J13" s="87">
        <v>22619265</v>
      </c>
      <c r="K13" s="87"/>
      <c r="L13" s="87">
        <v>0</v>
      </c>
      <c r="M13" s="87"/>
      <c r="N13" s="87">
        <v>0</v>
      </c>
      <c r="O13" s="87"/>
      <c r="P13" s="87">
        <v>0</v>
      </c>
      <c r="Q13" s="87"/>
      <c r="R13" s="87">
        <v>0</v>
      </c>
      <c r="S13" s="87"/>
      <c r="T13" s="87">
        <v>0</v>
      </c>
      <c r="U13" s="87"/>
      <c r="V13" s="87">
        <v>0</v>
      </c>
      <c r="W13" s="87"/>
      <c r="X13" s="88">
        <f t="shared" si="0"/>
        <v>63899762</v>
      </c>
      <c r="Y13" s="154"/>
      <c r="Z13" s="154"/>
      <c r="AA13" s="154"/>
      <c r="AB13" s="154"/>
      <c r="AC13" s="154"/>
      <c r="AD13" s="154"/>
      <c r="AE13" s="154"/>
    </row>
    <row r="14" spans="1:31" s="137" customFormat="1" ht="17.25" customHeight="1">
      <c r="B14" s="317" t="s">
        <v>179</v>
      </c>
      <c r="C14" s="356"/>
      <c r="D14" s="87">
        <v>0</v>
      </c>
      <c r="E14" s="87"/>
      <c r="F14" s="87">
        <v>0</v>
      </c>
      <c r="G14" s="87"/>
      <c r="H14" s="87">
        <v>-6691835</v>
      </c>
      <c r="I14" s="87"/>
      <c r="J14" s="87">
        <v>-20055994</v>
      </c>
      <c r="K14" s="87"/>
      <c r="L14" s="87">
        <v>0</v>
      </c>
      <c r="M14" s="87"/>
      <c r="N14" s="87">
        <v>0</v>
      </c>
      <c r="O14" s="87"/>
      <c r="P14" s="87">
        <v>0</v>
      </c>
      <c r="Q14" s="87"/>
      <c r="R14" s="87">
        <v>0</v>
      </c>
      <c r="S14" s="87"/>
      <c r="T14" s="87">
        <v>0</v>
      </c>
      <c r="U14" s="87"/>
      <c r="V14" s="87">
        <v>0</v>
      </c>
      <c r="W14" s="87"/>
      <c r="X14" s="88">
        <f t="shared" si="0"/>
        <v>-26747829</v>
      </c>
      <c r="Y14" s="154"/>
      <c r="Z14" s="154"/>
      <c r="AA14" s="154"/>
      <c r="AB14" s="154"/>
      <c r="AC14" s="154"/>
      <c r="AD14" s="154"/>
      <c r="AE14" s="154"/>
    </row>
    <row r="15" spans="1:31" s="137" customFormat="1" ht="17.25" customHeight="1">
      <c r="B15" s="317" t="s">
        <v>31</v>
      </c>
      <c r="C15" s="356"/>
      <c r="D15" s="87">
        <v>0</v>
      </c>
      <c r="E15" s="87"/>
      <c r="F15" s="87">
        <v>0</v>
      </c>
      <c r="G15" s="87"/>
      <c r="H15" s="87">
        <v>0</v>
      </c>
      <c r="I15" s="87"/>
      <c r="J15" s="87">
        <v>0</v>
      </c>
      <c r="K15" s="87"/>
      <c r="L15" s="87">
        <v>0</v>
      </c>
      <c r="M15" s="87"/>
      <c r="N15" s="87">
        <v>0</v>
      </c>
      <c r="O15" s="87"/>
      <c r="P15" s="87">
        <v>0</v>
      </c>
      <c r="Q15" s="87"/>
      <c r="R15" s="87">
        <v>0</v>
      </c>
      <c r="S15" s="87"/>
      <c r="T15" s="87">
        <v>-333163</v>
      </c>
      <c r="U15" s="87"/>
      <c r="V15" s="87">
        <v>0</v>
      </c>
      <c r="W15" s="87"/>
      <c r="X15" s="88">
        <f t="shared" si="0"/>
        <v>-333163</v>
      </c>
      <c r="Y15" s="154"/>
      <c r="Z15" s="154"/>
      <c r="AA15" s="154"/>
      <c r="AB15" s="154"/>
      <c r="AC15" s="154"/>
      <c r="AD15" s="154"/>
      <c r="AE15" s="154"/>
    </row>
    <row r="16" spans="1:31" s="137" customFormat="1" ht="17.25" customHeight="1">
      <c r="B16" s="317" t="s">
        <v>63</v>
      </c>
      <c r="C16" s="356"/>
      <c r="D16" s="87">
        <v>0</v>
      </c>
      <c r="E16" s="87"/>
      <c r="F16" s="87">
        <v>0</v>
      </c>
      <c r="G16" s="87"/>
      <c r="H16" s="87">
        <v>0</v>
      </c>
      <c r="I16" s="87"/>
      <c r="J16" s="87">
        <v>0</v>
      </c>
      <c r="K16" s="87"/>
      <c r="L16" s="87">
        <v>0</v>
      </c>
      <c r="M16" s="87"/>
      <c r="N16" s="87">
        <v>0</v>
      </c>
      <c r="O16" s="87"/>
      <c r="P16" s="87">
        <v>0</v>
      </c>
      <c r="Q16" s="87"/>
      <c r="R16" s="87">
        <v>3849785</v>
      </c>
      <c r="S16" s="87"/>
      <c r="T16" s="87">
        <v>0</v>
      </c>
      <c r="U16" s="87"/>
      <c r="V16" s="87">
        <v>0</v>
      </c>
      <c r="W16" s="87"/>
      <c r="X16" s="88">
        <f t="shared" si="0"/>
        <v>3849785</v>
      </c>
      <c r="Y16" s="154"/>
      <c r="Z16" s="154"/>
      <c r="AA16" s="154"/>
      <c r="AB16" s="154"/>
      <c r="AC16" s="154"/>
      <c r="AD16" s="154"/>
      <c r="AE16" s="154"/>
    </row>
    <row r="17" spans="1:31" s="137" customFormat="1" ht="17.25" customHeight="1">
      <c r="B17" s="317" t="s">
        <v>64</v>
      </c>
      <c r="C17" s="356"/>
      <c r="D17" s="364">
        <v>0</v>
      </c>
      <c r="E17" s="87"/>
      <c r="F17" s="364">
        <v>0</v>
      </c>
      <c r="G17" s="87"/>
      <c r="H17" s="364">
        <v>0</v>
      </c>
      <c r="I17" s="87"/>
      <c r="J17" s="364">
        <v>0</v>
      </c>
      <c r="K17" s="87"/>
      <c r="L17" s="364">
        <v>0</v>
      </c>
      <c r="M17" s="87"/>
      <c r="N17" s="364">
        <v>0</v>
      </c>
      <c r="O17" s="87"/>
      <c r="P17" s="364">
        <v>0</v>
      </c>
      <c r="Q17" s="87"/>
      <c r="R17" s="364">
        <v>-1347425</v>
      </c>
      <c r="S17" s="87"/>
      <c r="T17" s="364">
        <v>0</v>
      </c>
      <c r="U17" s="87"/>
      <c r="V17" s="364">
        <v>0</v>
      </c>
      <c r="W17" s="87"/>
      <c r="X17" s="353">
        <f t="shared" si="0"/>
        <v>-1347425</v>
      </c>
      <c r="Y17" s="154"/>
      <c r="Z17" s="154"/>
      <c r="AA17" s="154"/>
      <c r="AB17" s="154"/>
      <c r="AC17" s="154"/>
      <c r="AD17" s="154"/>
      <c r="AE17" s="154"/>
    </row>
    <row r="18" spans="1:31" s="137" customFormat="1" ht="17.25" hidden="1" customHeight="1">
      <c r="B18" s="317" t="s">
        <v>181</v>
      </c>
      <c r="C18" s="356"/>
      <c r="D18" s="87"/>
      <c r="E18" s="87"/>
      <c r="F18" s="87"/>
      <c r="G18" s="87"/>
      <c r="H18" s="87"/>
      <c r="I18" s="87"/>
      <c r="J18" s="87"/>
      <c r="K18" s="87"/>
      <c r="L18" s="87"/>
      <c r="M18" s="87"/>
      <c r="N18" s="87"/>
      <c r="O18" s="87"/>
      <c r="P18" s="87"/>
      <c r="Q18" s="87"/>
      <c r="R18" s="87"/>
      <c r="S18" s="87"/>
      <c r="T18" s="87"/>
      <c r="U18" s="87"/>
      <c r="V18" s="87"/>
      <c r="W18" s="87"/>
      <c r="X18" s="88">
        <f>SUM(D18:R18)</f>
        <v>0</v>
      </c>
      <c r="Y18" s="154"/>
      <c r="Z18" s="154"/>
      <c r="AA18" s="154"/>
      <c r="AB18" s="154"/>
      <c r="AC18" s="154"/>
      <c r="AD18" s="154"/>
      <c r="AE18" s="154"/>
    </row>
    <row r="19" spans="1:31" s="137" customFormat="1" ht="25.5" customHeight="1">
      <c r="B19" s="354" t="s">
        <v>275</v>
      </c>
      <c r="C19" s="354"/>
      <c r="D19" s="88">
        <f>SUM(D12:D18)</f>
        <v>28695193</v>
      </c>
      <c r="E19" s="88"/>
      <c r="F19" s="88">
        <f>SUM(F12:F18)</f>
        <v>2725835</v>
      </c>
      <c r="G19" s="88"/>
      <c r="H19" s="88">
        <f>SUM(H12:H18)</f>
        <v>87170625</v>
      </c>
      <c r="I19" s="88"/>
      <c r="J19" s="88">
        <f>SUM(J12:J18)</f>
        <v>156432095</v>
      </c>
      <c r="K19" s="88"/>
      <c r="L19" s="88">
        <f>SUM(L12:L18)</f>
        <v>0</v>
      </c>
      <c r="M19" s="88"/>
      <c r="N19" s="88">
        <f>SUM(N12:N18)</f>
        <v>0</v>
      </c>
      <c r="O19" s="88"/>
      <c r="P19" s="88">
        <f>SUM(P12:P18)</f>
        <v>0</v>
      </c>
      <c r="Q19" s="88"/>
      <c r="R19" s="88">
        <f>SUM(R7:R18)</f>
        <v>2502360</v>
      </c>
      <c r="S19" s="88"/>
      <c r="T19" s="88">
        <f>T15+T12</f>
        <v>21332548</v>
      </c>
      <c r="U19" s="88"/>
      <c r="V19" s="88">
        <f>V15+V12</f>
        <v>3573708</v>
      </c>
      <c r="W19" s="88"/>
      <c r="X19" s="88">
        <f>SUM(D19:W19)</f>
        <v>302432364</v>
      </c>
      <c r="Y19" s="73"/>
      <c r="Z19" s="73"/>
      <c r="AA19" s="73"/>
      <c r="AB19" s="73"/>
      <c r="AC19" s="73"/>
      <c r="AD19" s="73"/>
      <c r="AE19" s="73"/>
    </row>
    <row r="20" spans="1:31" s="137" customFormat="1" ht="17.25" hidden="1" customHeight="1">
      <c r="B20" s="317" t="s">
        <v>182</v>
      </c>
      <c r="C20" s="208"/>
      <c r="D20" s="93"/>
      <c r="E20" s="93"/>
      <c r="F20" s="93"/>
      <c r="G20" s="93"/>
      <c r="H20" s="93"/>
      <c r="I20" s="93"/>
      <c r="J20" s="93"/>
      <c r="K20" s="93"/>
      <c r="L20" s="93"/>
      <c r="M20" s="93"/>
      <c r="N20" s="93"/>
      <c r="O20" s="93"/>
      <c r="P20" s="93"/>
      <c r="Q20" s="93"/>
      <c r="R20" s="88"/>
      <c r="S20" s="88"/>
      <c r="T20" s="88"/>
      <c r="U20" s="88"/>
      <c r="V20" s="88"/>
      <c r="W20" s="88"/>
      <c r="X20" s="88"/>
      <c r="Y20" s="73"/>
      <c r="Z20" s="73"/>
      <c r="AA20" s="73"/>
      <c r="AB20" s="73"/>
      <c r="AC20" s="73"/>
      <c r="AD20" s="73"/>
      <c r="AE20" s="73"/>
    </row>
    <row r="21" spans="1:31" s="137" customFormat="1" ht="17.25" customHeight="1">
      <c r="B21" s="317" t="s">
        <v>228</v>
      </c>
      <c r="C21" s="356"/>
      <c r="D21" s="87">
        <v>4913377</v>
      </c>
      <c r="E21" s="87"/>
      <c r="F21" s="87">
        <v>967223</v>
      </c>
      <c r="G21" s="87"/>
      <c r="H21" s="87">
        <v>30222679</v>
      </c>
      <c r="I21" s="87"/>
      <c r="J21" s="87">
        <v>6510054</v>
      </c>
      <c r="K21" s="87"/>
      <c r="L21" s="87">
        <v>0</v>
      </c>
      <c r="M21" s="87"/>
      <c r="N21" s="87">
        <v>0</v>
      </c>
      <c r="O21" s="87"/>
      <c r="P21" s="87">
        <v>0</v>
      </c>
      <c r="Q21" s="87"/>
      <c r="R21" s="87">
        <v>0</v>
      </c>
      <c r="S21" s="87"/>
      <c r="T21" s="87">
        <v>0</v>
      </c>
      <c r="U21" s="87"/>
      <c r="V21" s="87">
        <v>0</v>
      </c>
      <c r="W21" s="87"/>
      <c r="X21" s="88">
        <f>SUM(D21:T21)</f>
        <v>42613333</v>
      </c>
    </row>
    <row r="22" spans="1:31" s="137" customFormat="1" ht="17.25" customHeight="1">
      <c r="B22" s="317" t="s">
        <v>31</v>
      </c>
      <c r="C22" s="356"/>
      <c r="D22" s="87">
        <v>0</v>
      </c>
      <c r="E22" s="87"/>
      <c r="F22" s="87">
        <v>0</v>
      </c>
      <c r="G22" s="87"/>
      <c r="H22" s="87">
        <v>0</v>
      </c>
      <c r="I22" s="87"/>
      <c r="J22" s="87">
        <v>0</v>
      </c>
      <c r="K22" s="87"/>
      <c r="L22" s="87">
        <v>0</v>
      </c>
      <c r="M22" s="87"/>
      <c r="N22" s="87">
        <v>0</v>
      </c>
      <c r="O22" s="87"/>
      <c r="P22" s="87">
        <v>0</v>
      </c>
      <c r="Q22" s="87"/>
      <c r="R22" s="87">
        <v>0</v>
      </c>
      <c r="S22" s="87"/>
      <c r="T22" s="87">
        <v>-81200835</v>
      </c>
      <c r="U22" s="87"/>
      <c r="V22" s="87">
        <v>0</v>
      </c>
      <c r="W22" s="87"/>
      <c r="X22" s="88">
        <f>SUM(D22:T22)</f>
        <v>-81200835</v>
      </c>
    </row>
    <row r="23" spans="1:31" s="137" customFormat="1" ht="17.25" customHeight="1">
      <c r="B23" s="317" t="s">
        <v>63</v>
      </c>
      <c r="C23" s="356"/>
      <c r="D23" s="87">
        <v>0</v>
      </c>
      <c r="E23" s="87"/>
      <c r="F23" s="87">
        <v>0</v>
      </c>
      <c r="G23" s="87"/>
      <c r="H23" s="87">
        <v>0</v>
      </c>
      <c r="I23" s="87"/>
      <c r="J23" s="87">
        <v>0</v>
      </c>
      <c r="K23" s="87"/>
      <c r="L23" s="87">
        <v>0</v>
      </c>
      <c r="M23" s="87"/>
      <c r="N23" s="87">
        <v>0</v>
      </c>
      <c r="O23" s="87"/>
      <c r="P23" s="87">
        <v>0</v>
      </c>
      <c r="Q23" s="87"/>
      <c r="R23" s="87">
        <v>28861191.399999999</v>
      </c>
      <c r="S23" s="87"/>
      <c r="T23" s="87">
        <v>0</v>
      </c>
      <c r="U23" s="87"/>
      <c r="V23" s="87">
        <v>0</v>
      </c>
      <c r="W23" s="87"/>
      <c r="X23" s="88">
        <f>SUM(D23:T23)</f>
        <v>28861191.399999999</v>
      </c>
    </row>
    <row r="24" spans="1:31" s="137" customFormat="1" ht="17.25" customHeight="1">
      <c r="B24" s="317" t="s">
        <v>64</v>
      </c>
      <c r="C24" s="356"/>
      <c r="D24" s="355">
        <v>0</v>
      </c>
      <c r="E24" s="355"/>
      <c r="F24" s="355">
        <v>0</v>
      </c>
      <c r="G24" s="355"/>
      <c r="H24" s="355">
        <v>0</v>
      </c>
      <c r="I24" s="355"/>
      <c r="J24" s="355">
        <v>0</v>
      </c>
      <c r="K24" s="355"/>
      <c r="L24" s="355">
        <v>0</v>
      </c>
      <c r="M24" s="355"/>
      <c r="N24" s="355">
        <v>0</v>
      </c>
      <c r="O24" s="355"/>
      <c r="P24" s="355">
        <v>0</v>
      </c>
      <c r="Q24" s="355"/>
      <c r="R24" s="87">
        <v>-10101416.85</v>
      </c>
      <c r="S24" s="87"/>
      <c r="T24" s="87">
        <v>0</v>
      </c>
      <c r="U24" s="87"/>
      <c r="V24" s="364">
        <v>0</v>
      </c>
      <c r="W24" s="87"/>
      <c r="X24" s="88">
        <f>SUM(D24:T24)</f>
        <v>-10101416.85</v>
      </c>
    </row>
    <row r="25" spans="1:31" s="137" customFormat="1" ht="30" customHeight="1">
      <c r="B25" s="354" t="s">
        <v>276</v>
      </c>
      <c r="C25" s="356"/>
      <c r="D25" s="365">
        <f>SUM(D19:D24)</f>
        <v>33608570</v>
      </c>
      <c r="E25" s="366"/>
      <c r="F25" s="365">
        <f>SUM(F19:F24)</f>
        <v>3693058</v>
      </c>
      <c r="G25" s="366"/>
      <c r="H25" s="365">
        <f>SUM(H19:H24)</f>
        <v>117393304</v>
      </c>
      <c r="I25" s="366"/>
      <c r="J25" s="365">
        <f>SUM(J19:J24)</f>
        <v>162942149</v>
      </c>
      <c r="K25" s="366"/>
      <c r="L25" s="365">
        <f>SUM(L19:L24)</f>
        <v>0</v>
      </c>
      <c r="M25" s="366"/>
      <c r="N25" s="365">
        <f>SUM(N19:N24)</f>
        <v>0</v>
      </c>
      <c r="O25" s="366"/>
      <c r="P25" s="365">
        <f>SUM(P19:P24)</f>
        <v>0</v>
      </c>
      <c r="Q25" s="367"/>
      <c r="R25" s="365">
        <f>SUM(R19:R24)</f>
        <v>21262134.549999997</v>
      </c>
      <c r="S25" s="366"/>
      <c r="T25" s="368">
        <f>SUM(T19:T24)</f>
        <v>-59868287</v>
      </c>
      <c r="U25" s="366"/>
      <c r="V25" s="368">
        <f>SUM(V19:V24)</f>
        <v>3573708</v>
      </c>
      <c r="W25" s="366"/>
      <c r="X25" s="368">
        <f>SUM(X19:X24)</f>
        <v>282604636.54999995</v>
      </c>
    </row>
    <row r="26" spans="1:31" s="137" customFormat="1" ht="15.75">
      <c r="B26" s="356"/>
      <c r="C26" s="356"/>
      <c r="D26" s="356"/>
      <c r="E26" s="356"/>
      <c r="F26" s="356"/>
      <c r="G26" s="356"/>
      <c r="H26" s="356"/>
      <c r="I26" s="356"/>
      <c r="J26" s="356"/>
      <c r="K26" s="356"/>
      <c r="L26" s="356"/>
      <c r="M26" s="356"/>
      <c r="N26" s="356"/>
      <c r="O26" s="356"/>
      <c r="P26" s="356"/>
      <c r="Q26" s="356"/>
      <c r="R26" s="356"/>
      <c r="S26" s="356"/>
      <c r="T26" s="356"/>
      <c r="U26" s="356"/>
      <c r="V26" s="356"/>
      <c r="W26" s="356"/>
      <c r="X26" s="356"/>
    </row>
    <row r="27" spans="1:31" s="137" customFormat="1" ht="47.25" customHeight="1">
      <c r="B27" s="356"/>
      <c r="C27" s="356"/>
      <c r="D27" s="356"/>
      <c r="E27" s="356"/>
      <c r="F27" s="356"/>
      <c r="G27" s="356"/>
      <c r="H27" s="356"/>
      <c r="I27" s="356"/>
      <c r="J27" s="356"/>
      <c r="K27" s="356"/>
      <c r="L27" s="356"/>
      <c r="M27" s="356"/>
      <c r="N27" s="356"/>
      <c r="O27" s="356"/>
      <c r="P27" s="356"/>
      <c r="Q27" s="356"/>
      <c r="R27" s="356"/>
      <c r="S27" s="356"/>
      <c r="T27" s="356"/>
      <c r="U27" s="356"/>
      <c r="V27" s="356"/>
      <c r="W27" s="356"/>
      <c r="X27" s="356"/>
    </row>
    <row r="28" spans="1:31" s="137" customFormat="1" ht="90" customHeight="1">
      <c r="A28" s="180"/>
      <c r="B28" s="360" t="s">
        <v>2</v>
      </c>
      <c r="C28" s="361"/>
      <c r="D28" s="362" t="s">
        <v>185</v>
      </c>
      <c r="E28" s="362"/>
      <c r="F28" s="362" t="s">
        <v>184</v>
      </c>
      <c r="G28" s="362"/>
      <c r="H28" s="362" t="s">
        <v>219</v>
      </c>
      <c r="I28" s="362"/>
      <c r="J28" s="362" t="s">
        <v>221</v>
      </c>
      <c r="K28" s="362"/>
      <c r="L28" s="362" t="s">
        <v>178</v>
      </c>
      <c r="M28" s="362"/>
      <c r="N28" s="362" t="s">
        <v>236</v>
      </c>
      <c r="O28" s="362"/>
      <c r="P28" s="362" t="s">
        <v>220</v>
      </c>
      <c r="Q28" s="362"/>
      <c r="R28" s="362" t="s">
        <v>237</v>
      </c>
      <c r="S28" s="362"/>
      <c r="T28" s="363" t="s">
        <v>269</v>
      </c>
      <c r="U28" s="362"/>
    </row>
    <row r="29" spans="1:31" s="137" customFormat="1">
      <c r="A29" s="114"/>
      <c r="B29" s="160"/>
      <c r="C29" s="160"/>
      <c r="D29" s="318"/>
      <c r="E29" s="318"/>
      <c r="F29" s="318"/>
      <c r="G29" s="318"/>
      <c r="H29" s="318"/>
      <c r="I29" s="318"/>
      <c r="J29" s="318"/>
      <c r="K29" s="318"/>
      <c r="L29" s="318"/>
      <c r="M29" s="318"/>
      <c r="N29" s="318"/>
      <c r="O29" s="318"/>
      <c r="P29" s="318"/>
      <c r="Q29" s="318"/>
      <c r="R29" s="318"/>
      <c r="S29" s="318"/>
      <c r="T29" s="318"/>
      <c r="U29" s="318"/>
    </row>
    <row r="30" spans="1:31" s="137" customFormat="1" ht="23.25" customHeight="1">
      <c r="B30" s="181" t="s">
        <v>226</v>
      </c>
      <c r="C30" s="181"/>
      <c r="D30" s="182">
        <v>21054539.399999999</v>
      </c>
      <c r="E30" s="182"/>
      <c r="F30" s="182">
        <v>1769301.11</v>
      </c>
      <c r="G30" s="182"/>
      <c r="H30" s="182">
        <v>68357055.620000005</v>
      </c>
      <c r="I30" s="182"/>
      <c r="J30" s="182">
        <v>120815844.94</v>
      </c>
      <c r="K30" s="182"/>
      <c r="L30" s="182">
        <v>2211149.34</v>
      </c>
      <c r="M30" s="182"/>
      <c r="N30" s="182">
        <v>11363032.41</v>
      </c>
      <c r="O30" s="182"/>
      <c r="P30" s="182">
        <v>1756110.74</v>
      </c>
      <c r="Q30" s="182"/>
      <c r="R30" s="182">
        <v>0</v>
      </c>
      <c r="S30" s="182"/>
      <c r="T30" s="182">
        <f>SUM(D30:R30)</f>
        <v>227327033.56</v>
      </c>
      <c r="U30" s="182"/>
    </row>
    <row r="31" spans="1:31" s="137" customFormat="1" ht="15" hidden="1" customHeight="1">
      <c r="B31" s="137" t="s">
        <v>371</v>
      </c>
      <c r="D31" s="183"/>
      <c r="E31" s="183"/>
      <c r="F31" s="183"/>
      <c r="G31" s="183"/>
      <c r="H31" s="183"/>
      <c r="I31" s="183"/>
      <c r="J31" s="183"/>
      <c r="K31" s="183"/>
      <c r="L31" s="183"/>
      <c r="M31" s="183"/>
      <c r="N31" s="183"/>
      <c r="O31" s="183"/>
      <c r="P31" s="183"/>
      <c r="Q31" s="183"/>
      <c r="R31" s="183"/>
      <c r="S31" s="183"/>
      <c r="T31" s="182">
        <f>SUM(D31:R31)</f>
        <v>0</v>
      </c>
      <c r="U31" s="183"/>
    </row>
    <row r="32" spans="1:31" s="137" customFormat="1" ht="15" hidden="1" customHeight="1">
      <c r="D32" s="183"/>
      <c r="E32" s="183"/>
      <c r="F32" s="183"/>
      <c r="G32" s="183"/>
      <c r="H32" s="183"/>
      <c r="I32" s="183"/>
      <c r="J32" s="183"/>
      <c r="K32" s="183"/>
      <c r="L32" s="183"/>
      <c r="M32" s="183"/>
      <c r="N32" s="183"/>
      <c r="O32" s="183"/>
      <c r="P32" s="183"/>
      <c r="Q32" s="183"/>
      <c r="R32" s="183"/>
      <c r="S32" s="183"/>
      <c r="T32" s="182"/>
      <c r="U32" s="183"/>
    </row>
    <row r="33" spans="2:21" s="137" customFormat="1">
      <c r="B33" s="129" t="s">
        <v>227</v>
      </c>
      <c r="D33" s="184">
        <v>0</v>
      </c>
      <c r="E33" s="183"/>
      <c r="F33" s="184">
        <v>0</v>
      </c>
      <c r="G33" s="183"/>
      <c r="H33" s="184">
        <v>0</v>
      </c>
      <c r="I33" s="183"/>
      <c r="J33" s="184">
        <v>11038732.99</v>
      </c>
      <c r="K33" s="183"/>
      <c r="L33" s="184">
        <v>-2211149.34</v>
      </c>
      <c r="M33" s="183"/>
      <c r="N33" s="184">
        <v>-11363032.41</v>
      </c>
      <c r="O33" s="183"/>
      <c r="P33" s="184">
        <v>-1756110.74</v>
      </c>
      <c r="Q33" s="183"/>
      <c r="R33" s="184">
        <v>0</v>
      </c>
      <c r="S33" s="183"/>
      <c r="T33" s="185">
        <f>SUM(D33:R33)</f>
        <v>-4291559.5</v>
      </c>
      <c r="U33" s="183"/>
    </row>
    <row r="34" spans="2:21" s="137" customFormat="1" ht="30.75" customHeight="1">
      <c r="B34" s="181" t="s">
        <v>235</v>
      </c>
      <c r="C34" s="181"/>
      <c r="D34" s="182">
        <f>SUM(D30:D33)</f>
        <v>21054539.399999999</v>
      </c>
      <c r="E34" s="182"/>
      <c r="F34" s="182">
        <f>SUM(F30:F33)</f>
        <v>1769301.11</v>
      </c>
      <c r="G34" s="182"/>
      <c r="H34" s="182">
        <f>SUM(H30:H33)</f>
        <v>68357055.620000005</v>
      </c>
      <c r="I34" s="182"/>
      <c r="J34" s="182">
        <f>SUM(J30:J33)</f>
        <v>131854577.92999999</v>
      </c>
      <c r="K34" s="182"/>
      <c r="L34" s="182">
        <f>SUM(L30:L33)</f>
        <v>0</v>
      </c>
      <c r="M34" s="182"/>
      <c r="N34" s="182">
        <f>SUM(N30:N33)</f>
        <v>0</v>
      </c>
      <c r="O34" s="182"/>
      <c r="P34" s="182">
        <f>SUM(P30:P33)</f>
        <v>0</v>
      </c>
      <c r="Q34" s="182"/>
      <c r="R34" s="182">
        <f>SUM(R30:R33)</f>
        <v>0</v>
      </c>
      <c r="S34" s="182"/>
      <c r="T34" s="182">
        <f>SUM(D34:R34)</f>
        <v>223035474.06</v>
      </c>
      <c r="U34" s="182"/>
    </row>
    <row r="35" spans="2:21" s="137" customFormat="1">
      <c r="B35" s="129" t="s">
        <v>228</v>
      </c>
      <c r="D35" s="183">
        <v>4293380.4000000004</v>
      </c>
      <c r="E35" s="183"/>
      <c r="F35" s="183">
        <v>0</v>
      </c>
      <c r="G35" s="183"/>
      <c r="H35" s="183">
        <v>32228931.609999999</v>
      </c>
      <c r="I35" s="183"/>
      <c r="J35" s="183">
        <f>21360050.58-7139040</f>
        <v>14221010.579999998</v>
      </c>
      <c r="K35" s="183"/>
      <c r="L35" s="183">
        <v>0</v>
      </c>
      <c r="M35" s="183"/>
      <c r="N35" s="183">
        <v>0</v>
      </c>
      <c r="O35" s="183"/>
      <c r="P35" s="183">
        <v>0</v>
      </c>
      <c r="Q35" s="183"/>
      <c r="R35" s="183">
        <v>0</v>
      </c>
      <c r="S35" s="183"/>
      <c r="T35" s="182">
        <f>SUM(D35:R35)</f>
        <v>50743322.589999996</v>
      </c>
      <c r="U35" s="183"/>
    </row>
    <row r="36" spans="2:21" s="137" customFormat="1">
      <c r="B36" s="129" t="s">
        <v>179</v>
      </c>
      <c r="D36" s="183">
        <v>0</v>
      </c>
      <c r="E36" s="183"/>
      <c r="F36" s="183">
        <v>0</v>
      </c>
      <c r="G36" s="183"/>
      <c r="H36" s="183">
        <f>-100585987.23+93894151.83</f>
        <v>-6691835.400000006</v>
      </c>
      <c r="I36" s="183"/>
      <c r="J36" s="183">
        <v>-20055993.719999999</v>
      </c>
      <c r="K36" s="183"/>
      <c r="L36" s="183">
        <v>0</v>
      </c>
      <c r="M36" s="183"/>
      <c r="N36" s="183">
        <v>0</v>
      </c>
      <c r="O36" s="183"/>
      <c r="P36" s="183">
        <v>0</v>
      </c>
      <c r="Q36" s="183"/>
      <c r="R36" s="183">
        <v>0</v>
      </c>
      <c r="S36" s="183"/>
      <c r="T36" s="182">
        <f>SUM(D36:R36)</f>
        <v>-26747829.120000005</v>
      </c>
      <c r="U36" s="183"/>
    </row>
    <row r="37" spans="2:21" s="137" customFormat="1">
      <c r="B37" s="129" t="s">
        <v>63</v>
      </c>
      <c r="D37" s="183">
        <v>0</v>
      </c>
      <c r="E37" s="183"/>
      <c r="F37" s="183">
        <v>0</v>
      </c>
      <c r="G37" s="183"/>
      <c r="H37" s="183">
        <v>0</v>
      </c>
      <c r="I37" s="183"/>
      <c r="J37" s="183">
        <v>0</v>
      </c>
      <c r="K37" s="183"/>
      <c r="L37" s="183">
        <v>0</v>
      </c>
      <c r="M37" s="183"/>
      <c r="N37" s="183">
        <v>0</v>
      </c>
      <c r="O37" s="183"/>
      <c r="P37" s="183">
        <v>0</v>
      </c>
      <c r="Q37" s="183"/>
      <c r="R37" s="183">
        <v>3849785.23</v>
      </c>
      <c r="S37" s="183"/>
      <c r="T37" s="182">
        <f>SUM(D37:S37)</f>
        <v>3849785.23</v>
      </c>
      <c r="U37" s="183"/>
    </row>
    <row r="38" spans="2:21" s="137" customFormat="1">
      <c r="B38" s="129" t="s">
        <v>64</v>
      </c>
      <c r="D38" s="184">
        <v>0</v>
      </c>
      <c r="E38" s="183"/>
      <c r="F38" s="184">
        <v>0</v>
      </c>
      <c r="G38" s="183"/>
      <c r="H38" s="184">
        <v>0</v>
      </c>
      <c r="I38" s="183"/>
      <c r="J38" s="184">
        <v>0</v>
      </c>
      <c r="K38" s="183"/>
      <c r="L38" s="184">
        <v>0</v>
      </c>
      <c r="M38" s="183"/>
      <c r="N38" s="184">
        <v>0</v>
      </c>
      <c r="O38" s="183"/>
      <c r="P38" s="184">
        <v>0</v>
      </c>
      <c r="Q38" s="183"/>
      <c r="R38" s="184">
        <v>-1347424.83</v>
      </c>
      <c r="S38" s="183"/>
      <c r="T38" s="185">
        <f>SUM(D38:R38)</f>
        <v>-1347424.83</v>
      </c>
      <c r="U38" s="183"/>
    </row>
    <row r="39" spans="2:21" s="137" customFormat="1">
      <c r="B39" s="129"/>
      <c r="D39" s="183"/>
      <c r="E39" s="183"/>
      <c r="F39" s="183"/>
      <c r="G39" s="183"/>
      <c r="H39" s="183"/>
      <c r="I39" s="183"/>
      <c r="J39" s="183"/>
      <c r="K39" s="183"/>
      <c r="L39" s="183"/>
      <c r="M39" s="183"/>
      <c r="N39" s="183"/>
      <c r="O39" s="183"/>
      <c r="P39" s="183"/>
      <c r="Q39" s="183"/>
      <c r="R39" s="183"/>
      <c r="S39" s="183"/>
      <c r="T39" s="182">
        <f>SUM(D39:R39)</f>
        <v>0</v>
      </c>
      <c r="U39" s="183"/>
    </row>
    <row r="40" spans="2:21" s="137" customFormat="1">
      <c r="B40" s="133" t="s">
        <v>275</v>
      </c>
      <c r="C40" s="133"/>
      <c r="D40" s="182">
        <f>SUM(D34:D39)</f>
        <v>25347919.799999997</v>
      </c>
      <c r="E40" s="182"/>
      <c r="F40" s="182">
        <f>SUM(F34:F39)</f>
        <v>1769301.11</v>
      </c>
      <c r="G40" s="182"/>
      <c r="H40" s="182">
        <f>SUM(H34:H39)</f>
        <v>93894151.829999998</v>
      </c>
      <c r="I40" s="182"/>
      <c r="J40" s="182">
        <f>SUM(J34:J39)</f>
        <v>126019594.78999999</v>
      </c>
      <c r="K40" s="182"/>
      <c r="L40" s="182">
        <f>SUM(L34:L39)</f>
        <v>0</v>
      </c>
      <c r="M40" s="182"/>
      <c r="N40" s="182">
        <f>SUM(N34:N39)</f>
        <v>0</v>
      </c>
      <c r="O40" s="182"/>
      <c r="P40" s="182">
        <f>SUM(P34:P39)</f>
        <v>0</v>
      </c>
      <c r="Q40" s="182"/>
      <c r="R40" s="182">
        <f>SUM(R30:R39)</f>
        <v>2502360.4</v>
      </c>
      <c r="S40" s="182"/>
      <c r="T40" s="182">
        <f>SUM(D40:R40)</f>
        <v>249533327.92999998</v>
      </c>
      <c r="U40" s="182"/>
    </row>
    <row r="41" spans="2:21" s="137" customFormat="1">
      <c r="B41" s="129"/>
      <c r="C41" s="141"/>
      <c r="D41" s="161"/>
      <c r="E41" s="161"/>
      <c r="F41" s="161"/>
      <c r="G41" s="161"/>
      <c r="H41" s="161"/>
      <c r="I41" s="161"/>
      <c r="J41" s="161"/>
      <c r="K41" s="161"/>
      <c r="L41" s="161"/>
      <c r="M41" s="161"/>
      <c r="N41" s="161"/>
      <c r="O41" s="161"/>
      <c r="P41" s="161"/>
      <c r="Q41" s="161"/>
      <c r="R41" s="182"/>
      <c r="S41" s="182"/>
      <c r="T41" s="182"/>
      <c r="U41" s="182"/>
    </row>
    <row r="42" spans="2:21" s="137" customFormat="1">
      <c r="B42" s="129" t="s">
        <v>228</v>
      </c>
      <c r="D42" s="183">
        <v>4442399.26</v>
      </c>
      <c r="E42" s="183"/>
      <c r="F42" s="183">
        <v>0</v>
      </c>
      <c r="G42" s="183"/>
      <c r="H42" s="183">
        <f>48346794.1-8430000</f>
        <v>39916794.100000001</v>
      </c>
      <c r="I42" s="183"/>
      <c r="J42" s="183">
        <v>7384062.5999999996</v>
      </c>
      <c r="K42" s="183"/>
      <c r="L42" s="183">
        <v>0</v>
      </c>
      <c r="M42" s="183"/>
      <c r="N42" s="183">
        <v>0</v>
      </c>
      <c r="O42" s="183"/>
      <c r="P42" s="183">
        <v>0</v>
      </c>
      <c r="Q42" s="183"/>
      <c r="R42" s="183">
        <v>0</v>
      </c>
      <c r="S42" s="183"/>
      <c r="T42" s="182">
        <f>SUM(D42:R42)</f>
        <v>51743255.960000001</v>
      </c>
      <c r="U42" s="183"/>
    </row>
    <row r="43" spans="2:21" s="137" customFormat="1">
      <c r="B43" s="129" t="s">
        <v>63</v>
      </c>
      <c r="D43" s="183">
        <v>0</v>
      </c>
      <c r="E43" s="183"/>
      <c r="F43" s="183">
        <v>0</v>
      </c>
      <c r="G43" s="183"/>
      <c r="H43" s="183">
        <v>0</v>
      </c>
      <c r="I43" s="183"/>
      <c r="J43" s="183">
        <v>0</v>
      </c>
      <c r="K43" s="183"/>
      <c r="L43" s="183">
        <v>0</v>
      </c>
      <c r="M43" s="183"/>
      <c r="N43" s="183">
        <v>0</v>
      </c>
      <c r="O43" s="183"/>
      <c r="P43" s="183">
        <v>0</v>
      </c>
      <c r="Q43" s="183"/>
      <c r="R43" s="183">
        <v>28861191</v>
      </c>
      <c r="S43" s="183"/>
      <c r="T43" s="182">
        <f>SUM(D43:R43)</f>
        <v>28861191</v>
      </c>
      <c r="U43" s="183"/>
    </row>
    <row r="44" spans="2:21" s="137" customFormat="1" ht="21.75" customHeight="1">
      <c r="B44" s="129" t="s">
        <v>64</v>
      </c>
      <c r="D44" s="162">
        <v>0</v>
      </c>
      <c r="E44" s="162"/>
      <c r="F44" s="162">
        <v>0</v>
      </c>
      <c r="G44" s="162"/>
      <c r="H44" s="162">
        <v>0</v>
      </c>
      <c r="I44" s="162"/>
      <c r="J44" s="162">
        <v>0</v>
      </c>
      <c r="K44" s="162"/>
      <c r="L44" s="162">
        <v>0</v>
      </c>
      <c r="M44" s="162"/>
      <c r="N44" s="162">
        <v>0</v>
      </c>
      <c r="O44" s="162"/>
      <c r="P44" s="162">
        <v>0</v>
      </c>
      <c r="Q44" s="162"/>
      <c r="R44" s="183">
        <v>-10101416.85</v>
      </c>
      <c r="S44" s="183"/>
      <c r="T44" s="182">
        <f>SUM(D44:R44)</f>
        <v>-10101416.85</v>
      </c>
      <c r="U44" s="183"/>
    </row>
    <row r="45" spans="2:21" s="137" customFormat="1" ht="29.25" customHeight="1">
      <c r="B45" s="133" t="s">
        <v>276</v>
      </c>
      <c r="D45" s="186">
        <f>SUM(D40:D44)</f>
        <v>29790319.059999995</v>
      </c>
      <c r="E45" s="192"/>
      <c r="F45" s="186">
        <f>SUM(F40:F44)</f>
        <v>1769301.11</v>
      </c>
      <c r="G45" s="192"/>
      <c r="H45" s="186">
        <f>SUM(H40:H44)</f>
        <v>133810945.93000001</v>
      </c>
      <c r="I45" s="192"/>
      <c r="J45" s="186">
        <f>SUM(J40:J44)</f>
        <v>133403657.38999999</v>
      </c>
      <c r="K45" s="192"/>
      <c r="L45" s="186">
        <f>SUM(L40:L44)</f>
        <v>0</v>
      </c>
      <c r="M45" s="192"/>
      <c r="N45" s="186">
        <f>SUM(N40:N44)</f>
        <v>0</v>
      </c>
      <c r="O45" s="192"/>
      <c r="P45" s="186">
        <f>SUM(P40:P44)</f>
        <v>0</v>
      </c>
      <c r="Q45" s="193"/>
      <c r="R45" s="186">
        <f>SUM(R40:R44)</f>
        <v>21262134.549999997</v>
      </c>
      <c r="S45" s="192"/>
      <c r="T45" s="187">
        <f>SUM(D45:R45)</f>
        <v>320036358.04000002</v>
      </c>
      <c r="U45" s="192"/>
    </row>
    <row r="46" spans="2:21" s="137" customFormat="1"/>
    <row r="47" spans="2:21" s="137" customFormat="1"/>
    <row r="48" spans="2:21" s="137" customFormat="1"/>
    <row r="49" s="137" customFormat="1"/>
    <row r="50" s="137" customFormat="1"/>
    <row r="51" s="137" customFormat="1"/>
    <row r="52" s="137" customFormat="1"/>
    <row r="53" s="137" customFormat="1"/>
    <row r="54" s="137" customFormat="1"/>
    <row r="55" s="137" customFormat="1"/>
    <row r="56" s="137" customFormat="1"/>
    <row r="57" s="137" customFormat="1"/>
    <row r="58" s="137" customFormat="1"/>
    <row r="59" s="137" customFormat="1"/>
    <row r="60" s="137" customFormat="1"/>
    <row r="61" s="137" customFormat="1"/>
    <row r="62" s="137" customFormat="1"/>
    <row r="63" s="137" customFormat="1"/>
    <row r="64" s="137" customFormat="1"/>
    <row r="65" s="137" customFormat="1"/>
    <row r="66" s="137" customFormat="1"/>
    <row r="67" s="137" customFormat="1"/>
    <row r="68" s="137" customFormat="1"/>
    <row r="69" s="137" customFormat="1"/>
    <row r="70" s="137" customFormat="1"/>
    <row r="71" s="137" customFormat="1"/>
    <row r="72" s="137" customFormat="1"/>
    <row r="73" s="137" customFormat="1"/>
    <row r="74" s="137" customFormat="1"/>
    <row r="75" s="137" customFormat="1"/>
    <row r="76" s="137" customFormat="1"/>
    <row r="77" s="137" customFormat="1"/>
    <row r="78" s="137" customFormat="1"/>
    <row r="79" s="137" customFormat="1"/>
    <row r="80" s="137" customFormat="1"/>
    <row r="81" s="137" customFormat="1"/>
    <row r="82" s="137" customFormat="1"/>
    <row r="83" s="137" customFormat="1"/>
    <row r="84" s="137" customFormat="1"/>
    <row r="85" s="137" customFormat="1"/>
    <row r="86" s="137" customFormat="1"/>
    <row r="87" s="137" customFormat="1"/>
    <row r="88" s="137" customFormat="1"/>
    <row r="89" s="137" customFormat="1"/>
    <row r="90" s="137" customFormat="1"/>
    <row r="91" s="137" customFormat="1"/>
  </sheetData>
  <mergeCells count="2">
    <mergeCell ref="D6:X6"/>
    <mergeCell ref="Y6:AE6"/>
  </mergeCells>
  <phoneticPr fontId="0" type="noConversion"/>
  <printOptions horizontalCentered="1"/>
  <pageMargins left="0.73619999999999997" right="0" top="0.98419999999999996" bottom="0.16" header="0.433" footer="0"/>
  <pageSetup paperSize="9" scale="44" orientation="landscape" r:id="rId1"/>
  <headerFooter alignWithMargins="0">
    <oddFooter>&amp;L&amp;"Times New Roman Greek,Italic"&amp;11Draft for discussion purposes only&amp;R41</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AA91"/>
  <sheetViews>
    <sheetView topLeftCell="E6" zoomScaleNormal="100" zoomScaleSheetLayoutView="75" workbookViewId="0">
      <selection activeCell="A3" sqref="A3:T22"/>
    </sheetView>
  </sheetViews>
  <sheetFormatPr defaultColWidth="10.6640625" defaultRowHeight="15"/>
  <cols>
    <col min="1" max="1" width="6.5" style="155" bestFit="1" customWidth="1"/>
    <col min="2" max="2" width="58.83203125" style="155" customWidth="1"/>
    <col min="3" max="3" width="0.6640625" style="155" customWidth="1"/>
    <col min="4" max="4" width="17" style="155" customWidth="1"/>
    <col min="5" max="5" width="1.1640625" style="137" customWidth="1"/>
    <col min="6" max="6" width="15.6640625" style="155" bestFit="1" customWidth="1"/>
    <col min="7" max="7" width="1.1640625" style="137" customWidth="1"/>
    <col min="8" max="8" width="18.33203125" style="155" bestFit="1" customWidth="1"/>
    <col min="9" max="9" width="1.1640625" style="137" customWidth="1"/>
    <col min="10" max="10" width="18.83203125" style="155" bestFit="1" customWidth="1"/>
    <col min="11" max="11" width="1.1640625" style="137" customWidth="1"/>
    <col min="12" max="12" width="17.5" style="155" bestFit="1" customWidth="1"/>
    <col min="13" max="13" width="1.1640625" style="137" customWidth="1"/>
    <col min="14" max="14" width="18.83203125" style="155" bestFit="1" customWidth="1"/>
    <col min="15" max="15" width="1.1640625" style="137" customWidth="1"/>
    <col min="16" max="16" width="17.5" style="155" customWidth="1"/>
    <col min="17" max="17" width="1.1640625" style="137" customWidth="1"/>
    <col min="18" max="18" width="17.5" style="155" customWidth="1"/>
    <col min="19" max="19" width="1.1640625" style="137" customWidth="1"/>
    <col min="20" max="20" width="18.83203125" style="155" bestFit="1" customWidth="1"/>
    <col min="21" max="21" width="18" style="155" customWidth="1"/>
    <col min="22" max="27" width="17.83203125" style="155" customWidth="1"/>
    <col min="28" max="16384" width="10.6640625" style="155"/>
  </cols>
  <sheetData>
    <row r="1" spans="1:27">
      <c r="B1" s="159"/>
      <c r="C1" s="159"/>
      <c r="D1" s="77"/>
      <c r="E1" s="77"/>
      <c r="F1" s="77"/>
      <c r="G1" s="77"/>
      <c r="H1" s="77"/>
      <c r="I1" s="77"/>
      <c r="J1" s="77"/>
      <c r="K1" s="77"/>
      <c r="L1" s="73"/>
      <c r="M1" s="73"/>
      <c r="N1" s="77"/>
      <c r="O1" s="77"/>
      <c r="P1" s="77"/>
      <c r="Q1" s="77"/>
      <c r="R1" s="77"/>
      <c r="S1" s="77"/>
      <c r="T1" s="77"/>
      <c r="U1" s="77"/>
      <c r="V1" s="77"/>
      <c r="W1" s="73"/>
    </row>
    <row r="3" spans="1:27" ht="25.5">
      <c r="A3" s="163">
        <v>25</v>
      </c>
      <c r="B3" s="163" t="s">
        <v>183</v>
      </c>
      <c r="C3" s="109"/>
    </row>
    <row r="4" spans="1:27" ht="25.5">
      <c r="A4" s="163"/>
      <c r="B4" s="237" t="s">
        <v>187</v>
      </c>
      <c r="C4" s="109"/>
    </row>
    <row r="5" spans="1:27" s="114" customFormat="1" ht="86.25">
      <c r="A5" s="180"/>
      <c r="B5" s="209" t="s">
        <v>2</v>
      </c>
      <c r="C5" s="180"/>
      <c r="D5" s="150" t="s">
        <v>185</v>
      </c>
      <c r="E5" s="150"/>
      <c r="F5" s="150" t="s">
        <v>184</v>
      </c>
      <c r="G5" s="150"/>
      <c r="H5" s="150" t="s">
        <v>219</v>
      </c>
      <c r="I5" s="150"/>
      <c r="J5" s="150" t="s">
        <v>221</v>
      </c>
      <c r="K5" s="150"/>
      <c r="L5" s="150" t="s">
        <v>178</v>
      </c>
      <c r="M5" s="150"/>
      <c r="N5" s="150" t="s">
        <v>236</v>
      </c>
      <c r="O5" s="150"/>
      <c r="P5" s="150" t="s">
        <v>220</v>
      </c>
      <c r="Q5" s="150"/>
      <c r="R5" s="150" t="s">
        <v>237</v>
      </c>
      <c r="S5" s="150"/>
      <c r="T5" s="149" t="s">
        <v>269</v>
      </c>
      <c r="U5" s="149"/>
      <c r="V5" s="149"/>
      <c r="W5" s="149"/>
      <c r="X5" s="149"/>
      <c r="Y5" s="149"/>
      <c r="Z5" s="149"/>
      <c r="AA5" s="149"/>
    </row>
    <row r="6" spans="1:27" s="114" customFormat="1">
      <c r="B6" s="160"/>
      <c r="C6" s="160"/>
      <c r="D6" s="649"/>
      <c r="E6" s="649"/>
      <c r="F6" s="649"/>
      <c r="G6" s="649"/>
      <c r="H6" s="649"/>
      <c r="I6" s="649"/>
      <c r="J6" s="649"/>
      <c r="K6" s="649"/>
      <c r="L6" s="649"/>
      <c r="M6" s="649"/>
      <c r="N6" s="649"/>
      <c r="O6" s="649"/>
      <c r="P6" s="649"/>
      <c r="Q6" s="649"/>
      <c r="R6" s="649"/>
      <c r="S6" s="649"/>
      <c r="T6" s="649"/>
      <c r="U6" s="649"/>
      <c r="V6" s="649"/>
      <c r="W6" s="649"/>
      <c r="X6" s="649"/>
      <c r="Y6" s="649"/>
      <c r="Z6" s="649"/>
      <c r="AA6" s="649"/>
    </row>
    <row r="7" spans="1:27" s="137" customFormat="1" ht="17.25" customHeight="1">
      <c r="B7" s="181" t="s">
        <v>226</v>
      </c>
      <c r="C7" s="181"/>
      <c r="D7" s="182">
        <v>21054539.399999999</v>
      </c>
      <c r="E7" s="182"/>
      <c r="F7" s="182">
        <v>1769301.11</v>
      </c>
      <c r="G7" s="182"/>
      <c r="H7" s="182">
        <v>68357055.620000005</v>
      </c>
      <c r="I7" s="182"/>
      <c r="J7" s="182">
        <v>120815844.94</v>
      </c>
      <c r="K7" s="182"/>
      <c r="L7" s="182">
        <v>2211149.34</v>
      </c>
      <c r="M7" s="182"/>
      <c r="N7" s="182">
        <v>11363032.41</v>
      </c>
      <c r="O7" s="182"/>
      <c r="P7" s="182">
        <v>1756110.74</v>
      </c>
      <c r="Q7" s="182"/>
      <c r="R7" s="182">
        <v>0</v>
      </c>
      <c r="S7" s="182"/>
      <c r="T7" s="182">
        <f>SUM(D7:R7)</f>
        <v>227327033.56</v>
      </c>
      <c r="U7" s="77"/>
      <c r="V7" s="77"/>
      <c r="W7" s="77"/>
      <c r="X7" s="77"/>
      <c r="Y7" s="77"/>
      <c r="Z7" s="77"/>
      <c r="AA7" s="77"/>
    </row>
    <row r="8" spans="1:27" s="137" customFormat="1" ht="17.25" hidden="1" customHeight="1">
      <c r="B8" s="137" t="s">
        <v>371</v>
      </c>
      <c r="D8" s="183"/>
      <c r="E8" s="183"/>
      <c r="F8" s="183"/>
      <c r="G8" s="183"/>
      <c r="H8" s="183"/>
      <c r="I8" s="183"/>
      <c r="J8" s="183"/>
      <c r="K8" s="183"/>
      <c r="L8" s="183"/>
      <c r="M8" s="183"/>
      <c r="N8" s="183"/>
      <c r="O8" s="183"/>
      <c r="P8" s="183"/>
      <c r="Q8" s="183"/>
      <c r="R8" s="183"/>
      <c r="S8" s="183"/>
      <c r="T8" s="182">
        <f>SUM(D8:R8)</f>
        <v>0</v>
      </c>
      <c r="U8" s="154"/>
      <c r="V8" s="154"/>
      <c r="W8" s="154"/>
      <c r="X8" s="154"/>
      <c r="Y8" s="154"/>
      <c r="Z8" s="154"/>
      <c r="AA8" s="154"/>
    </row>
    <row r="9" spans="1:27" s="137" customFormat="1" ht="17.25" hidden="1" customHeight="1">
      <c r="D9" s="183"/>
      <c r="E9" s="183"/>
      <c r="F9" s="183"/>
      <c r="G9" s="183"/>
      <c r="H9" s="183"/>
      <c r="I9" s="183"/>
      <c r="J9" s="183"/>
      <c r="K9" s="183"/>
      <c r="L9" s="183"/>
      <c r="M9" s="183"/>
      <c r="N9" s="183"/>
      <c r="O9" s="183"/>
      <c r="P9" s="183"/>
      <c r="Q9" s="183"/>
      <c r="R9" s="183"/>
      <c r="S9" s="183"/>
      <c r="T9" s="182"/>
      <c r="U9" s="154"/>
      <c r="V9" s="154"/>
      <c r="W9" s="154"/>
      <c r="X9" s="154"/>
      <c r="Y9" s="154"/>
      <c r="Z9" s="154"/>
      <c r="AA9" s="154"/>
    </row>
    <row r="10" spans="1:27" s="137" customFormat="1" ht="17.25" customHeight="1">
      <c r="B10" s="129" t="s">
        <v>227</v>
      </c>
      <c r="D10" s="184">
        <v>0</v>
      </c>
      <c r="E10" s="183"/>
      <c r="F10" s="184">
        <v>0</v>
      </c>
      <c r="G10" s="183"/>
      <c r="H10" s="184">
        <v>0</v>
      </c>
      <c r="I10" s="183"/>
      <c r="J10" s="184">
        <v>11038732.99</v>
      </c>
      <c r="K10" s="183"/>
      <c r="L10" s="184">
        <v>-2211149.34</v>
      </c>
      <c r="M10" s="183"/>
      <c r="N10" s="184">
        <v>-11363032.41</v>
      </c>
      <c r="O10" s="183"/>
      <c r="P10" s="184">
        <v>-1756110.74</v>
      </c>
      <c r="Q10" s="183"/>
      <c r="R10" s="184">
        <v>0</v>
      </c>
      <c r="S10" s="183"/>
      <c r="T10" s="185">
        <f t="shared" ref="T10:T17" si="0">SUM(D10:R10)</f>
        <v>-4291559.5</v>
      </c>
      <c r="U10" s="154"/>
      <c r="V10" s="154"/>
      <c r="W10" s="154"/>
      <c r="X10" s="154"/>
      <c r="Y10" s="154"/>
      <c r="Z10" s="154"/>
      <c r="AA10" s="154"/>
    </row>
    <row r="11" spans="1:27" s="137" customFormat="1" ht="17.25" customHeight="1">
      <c r="B11" s="181" t="s">
        <v>235</v>
      </c>
      <c r="C11" s="181"/>
      <c r="D11" s="182">
        <f>SUM(D7:D10)</f>
        <v>21054539.399999999</v>
      </c>
      <c r="E11" s="182"/>
      <c r="F11" s="182">
        <f>SUM(F7:F10)</f>
        <v>1769301.11</v>
      </c>
      <c r="G11" s="182"/>
      <c r="H11" s="182">
        <f>SUM(H7:H10)</f>
        <v>68357055.620000005</v>
      </c>
      <c r="I11" s="182"/>
      <c r="J11" s="182">
        <f>SUM(J7:J10)</f>
        <v>131854577.92999999</v>
      </c>
      <c r="K11" s="182"/>
      <c r="L11" s="182">
        <f>SUM(L7:L10)</f>
        <v>0</v>
      </c>
      <c r="M11" s="182"/>
      <c r="N11" s="182">
        <f>SUM(N7:N10)</f>
        <v>0</v>
      </c>
      <c r="O11" s="182"/>
      <c r="P11" s="182">
        <f>SUM(P7:P10)</f>
        <v>0</v>
      </c>
      <c r="Q11" s="182"/>
      <c r="R11" s="182">
        <f>SUM(R7:R10)</f>
        <v>0</v>
      </c>
      <c r="S11" s="182"/>
      <c r="T11" s="182">
        <f t="shared" si="0"/>
        <v>223035474.06</v>
      </c>
      <c r="U11" s="77"/>
      <c r="V11" s="77"/>
      <c r="W11" s="77"/>
      <c r="X11" s="77"/>
      <c r="Y11" s="77"/>
      <c r="Z11" s="77"/>
      <c r="AA11" s="77"/>
    </row>
    <row r="12" spans="1:27" s="137" customFormat="1" ht="17.25" customHeight="1">
      <c r="B12" s="129" t="s">
        <v>228</v>
      </c>
      <c r="D12" s="183">
        <v>4293380.4000000004</v>
      </c>
      <c r="E12" s="183"/>
      <c r="F12" s="183">
        <v>0</v>
      </c>
      <c r="G12" s="183"/>
      <c r="H12" s="183">
        <v>32228931.609999999</v>
      </c>
      <c r="I12" s="183"/>
      <c r="J12" s="183">
        <f>21360050.58-7139040</f>
        <v>14221010.579999998</v>
      </c>
      <c r="K12" s="183"/>
      <c r="L12" s="183">
        <v>0</v>
      </c>
      <c r="M12" s="183"/>
      <c r="N12" s="183">
        <v>0</v>
      </c>
      <c r="O12" s="183"/>
      <c r="P12" s="183">
        <v>0</v>
      </c>
      <c r="Q12" s="183"/>
      <c r="R12" s="183">
        <v>0</v>
      </c>
      <c r="S12" s="183"/>
      <c r="T12" s="182">
        <f t="shared" si="0"/>
        <v>50743322.589999996</v>
      </c>
      <c r="U12" s="154"/>
      <c r="V12" s="154"/>
      <c r="W12" s="154"/>
      <c r="X12" s="154"/>
      <c r="Y12" s="154"/>
      <c r="Z12" s="154"/>
      <c r="AA12" s="154"/>
    </row>
    <row r="13" spans="1:27" s="137" customFormat="1" ht="17.25" customHeight="1">
      <c r="B13" s="129" t="s">
        <v>179</v>
      </c>
      <c r="D13" s="183">
        <v>0</v>
      </c>
      <c r="E13" s="183"/>
      <c r="F13" s="183">
        <v>0</v>
      </c>
      <c r="G13" s="183"/>
      <c r="H13" s="183">
        <f>-100585987.23+93894151.83</f>
        <v>-6691835.400000006</v>
      </c>
      <c r="I13" s="183"/>
      <c r="J13" s="183">
        <v>-20055993.719999999</v>
      </c>
      <c r="K13" s="183"/>
      <c r="L13" s="183">
        <v>0</v>
      </c>
      <c r="M13" s="183"/>
      <c r="N13" s="183">
        <v>0</v>
      </c>
      <c r="O13" s="183"/>
      <c r="P13" s="183">
        <v>0</v>
      </c>
      <c r="Q13" s="183"/>
      <c r="R13" s="183">
        <v>0</v>
      </c>
      <c r="S13" s="183"/>
      <c r="T13" s="182">
        <f t="shared" si="0"/>
        <v>-26747829.120000005</v>
      </c>
      <c r="U13" s="154"/>
      <c r="V13" s="154"/>
      <c r="W13" s="154"/>
      <c r="X13" s="154"/>
      <c r="Y13" s="154"/>
      <c r="Z13" s="154"/>
      <c r="AA13" s="154"/>
    </row>
    <row r="14" spans="1:27" s="137" customFormat="1" ht="17.25" customHeight="1">
      <c r="B14" s="129" t="s">
        <v>63</v>
      </c>
      <c r="D14" s="183">
        <v>0</v>
      </c>
      <c r="E14" s="183"/>
      <c r="F14" s="183">
        <v>0</v>
      </c>
      <c r="G14" s="183"/>
      <c r="H14" s="183">
        <v>0</v>
      </c>
      <c r="I14" s="183"/>
      <c r="J14" s="183">
        <v>0</v>
      </c>
      <c r="K14" s="183"/>
      <c r="L14" s="183">
        <v>0</v>
      </c>
      <c r="M14" s="183"/>
      <c r="N14" s="183">
        <v>0</v>
      </c>
      <c r="O14" s="183"/>
      <c r="P14" s="183">
        <v>0</v>
      </c>
      <c r="Q14" s="183"/>
      <c r="R14" s="183">
        <v>3849785.23</v>
      </c>
      <c r="S14" s="183"/>
      <c r="T14" s="182">
        <f>SUM(D14:S14)</f>
        <v>3849785.23</v>
      </c>
      <c r="U14" s="154"/>
      <c r="V14" s="154"/>
      <c r="W14" s="154"/>
      <c r="X14" s="154"/>
      <c r="Y14" s="154"/>
      <c r="Z14" s="154"/>
      <c r="AA14" s="154"/>
    </row>
    <row r="15" spans="1:27" s="137" customFormat="1" ht="17.25" customHeight="1">
      <c r="B15" s="129" t="s">
        <v>64</v>
      </c>
      <c r="D15" s="184">
        <v>0</v>
      </c>
      <c r="E15" s="183"/>
      <c r="F15" s="184">
        <v>0</v>
      </c>
      <c r="G15" s="183"/>
      <c r="H15" s="184">
        <v>0</v>
      </c>
      <c r="I15" s="183"/>
      <c r="J15" s="184">
        <v>0</v>
      </c>
      <c r="K15" s="183"/>
      <c r="L15" s="184">
        <v>0</v>
      </c>
      <c r="M15" s="183"/>
      <c r="N15" s="184">
        <v>0</v>
      </c>
      <c r="O15" s="183"/>
      <c r="P15" s="184">
        <v>0</v>
      </c>
      <c r="Q15" s="183"/>
      <c r="R15" s="184">
        <v>-1347424.83</v>
      </c>
      <c r="S15" s="183"/>
      <c r="T15" s="185">
        <f t="shared" si="0"/>
        <v>-1347424.83</v>
      </c>
      <c r="U15" s="154"/>
      <c r="V15" s="154"/>
      <c r="W15" s="154"/>
      <c r="X15" s="154"/>
      <c r="Y15" s="154"/>
      <c r="Z15" s="154"/>
      <c r="AA15" s="154"/>
    </row>
    <row r="16" spans="1:27" s="137" customFormat="1" ht="17.25" hidden="1" customHeight="1">
      <c r="B16" s="129" t="s">
        <v>181</v>
      </c>
      <c r="D16" s="183"/>
      <c r="E16" s="183"/>
      <c r="F16" s="183"/>
      <c r="G16" s="183"/>
      <c r="H16" s="183"/>
      <c r="I16" s="183"/>
      <c r="J16" s="183"/>
      <c r="K16" s="183"/>
      <c r="L16" s="183"/>
      <c r="M16" s="183"/>
      <c r="N16" s="183"/>
      <c r="O16" s="183"/>
      <c r="P16" s="183"/>
      <c r="Q16" s="183"/>
      <c r="R16" s="183"/>
      <c r="S16" s="183"/>
      <c r="T16" s="182">
        <f t="shared" si="0"/>
        <v>0</v>
      </c>
      <c r="U16" s="154"/>
      <c r="V16" s="154"/>
      <c r="W16" s="154"/>
      <c r="X16" s="154"/>
      <c r="Y16" s="154"/>
      <c r="Z16" s="154"/>
      <c r="AA16" s="154"/>
    </row>
    <row r="17" spans="2:27" s="137" customFormat="1" ht="17.25" customHeight="1">
      <c r="B17" s="133" t="s">
        <v>275</v>
      </c>
      <c r="C17" s="133"/>
      <c r="D17" s="182">
        <f>SUM(D11:D16)</f>
        <v>25347919.799999997</v>
      </c>
      <c r="E17" s="182"/>
      <c r="F17" s="182">
        <f>SUM(F11:F16)</f>
        <v>1769301.11</v>
      </c>
      <c r="G17" s="182"/>
      <c r="H17" s="182">
        <f>SUM(H11:H16)</f>
        <v>93894151.829999998</v>
      </c>
      <c r="I17" s="182"/>
      <c r="J17" s="182">
        <f>SUM(J11:J16)</f>
        <v>126019594.78999999</v>
      </c>
      <c r="K17" s="182"/>
      <c r="L17" s="182">
        <f>SUM(L11:L16)</f>
        <v>0</v>
      </c>
      <c r="M17" s="182"/>
      <c r="N17" s="182">
        <f>SUM(N11:N16)</f>
        <v>0</v>
      </c>
      <c r="O17" s="182"/>
      <c r="P17" s="182">
        <f>SUM(P11:P16)</f>
        <v>0</v>
      </c>
      <c r="Q17" s="182"/>
      <c r="R17" s="182">
        <f>SUM(R7:R16)</f>
        <v>2502360.4</v>
      </c>
      <c r="S17" s="182"/>
      <c r="T17" s="182">
        <f t="shared" si="0"/>
        <v>249533327.92999998</v>
      </c>
      <c r="U17" s="73"/>
      <c r="V17" s="73"/>
      <c r="W17" s="73"/>
      <c r="X17" s="73"/>
      <c r="Y17" s="73"/>
      <c r="Z17" s="73"/>
      <c r="AA17" s="73"/>
    </row>
    <row r="18" spans="2:27" s="137" customFormat="1" ht="17.25" hidden="1" customHeight="1">
      <c r="B18" s="129" t="s">
        <v>182</v>
      </c>
      <c r="C18" s="141"/>
      <c r="D18" s="161"/>
      <c r="E18" s="161"/>
      <c r="F18" s="161"/>
      <c r="G18" s="161"/>
      <c r="H18" s="161"/>
      <c r="I18" s="161"/>
      <c r="J18" s="161"/>
      <c r="K18" s="161"/>
      <c r="L18" s="161"/>
      <c r="M18" s="161"/>
      <c r="N18" s="161"/>
      <c r="O18" s="161"/>
      <c r="P18" s="161"/>
      <c r="Q18" s="161"/>
      <c r="R18" s="182"/>
      <c r="S18" s="182"/>
      <c r="T18" s="182"/>
      <c r="U18" s="73"/>
      <c r="V18" s="73"/>
      <c r="W18" s="73"/>
      <c r="X18" s="73"/>
      <c r="Y18" s="73"/>
      <c r="Z18" s="73"/>
      <c r="AA18" s="73"/>
    </row>
    <row r="19" spans="2:27" s="137" customFormat="1" ht="17.25" customHeight="1">
      <c r="B19" s="129" t="s">
        <v>228</v>
      </c>
      <c r="D19" s="183">
        <v>4442399.26</v>
      </c>
      <c r="E19" s="183"/>
      <c r="F19" s="183">
        <v>0</v>
      </c>
      <c r="G19" s="183"/>
      <c r="H19" s="183">
        <f>48346794.1-8430000</f>
        <v>39916794.100000001</v>
      </c>
      <c r="I19" s="183"/>
      <c r="J19" s="183">
        <v>7384062.5999999996</v>
      </c>
      <c r="K19" s="183"/>
      <c r="L19" s="183">
        <v>0</v>
      </c>
      <c r="M19" s="183"/>
      <c r="N19" s="183">
        <v>0</v>
      </c>
      <c r="O19" s="183"/>
      <c r="P19" s="183">
        <v>0</v>
      </c>
      <c r="Q19" s="183"/>
      <c r="R19" s="183">
        <v>0</v>
      </c>
      <c r="S19" s="183"/>
      <c r="T19" s="182">
        <f>SUM(D19:R19)</f>
        <v>51743255.960000001</v>
      </c>
    </row>
    <row r="20" spans="2:27" s="137" customFormat="1" ht="17.25" customHeight="1">
      <c r="B20" s="129" t="s">
        <v>63</v>
      </c>
      <c r="D20" s="183">
        <v>0</v>
      </c>
      <c r="E20" s="183"/>
      <c r="F20" s="183">
        <v>0</v>
      </c>
      <c r="G20" s="183"/>
      <c r="H20" s="183">
        <v>0</v>
      </c>
      <c r="I20" s="183"/>
      <c r="J20" s="183">
        <v>0</v>
      </c>
      <c r="K20" s="183"/>
      <c r="L20" s="183">
        <v>0</v>
      </c>
      <c r="M20" s="183"/>
      <c r="N20" s="183">
        <v>0</v>
      </c>
      <c r="O20" s="183"/>
      <c r="P20" s="183">
        <v>0</v>
      </c>
      <c r="Q20" s="183"/>
      <c r="R20" s="183">
        <v>24876394.600000001</v>
      </c>
      <c r="S20" s="183"/>
      <c r="T20" s="182">
        <f>SUM(D20:R20)</f>
        <v>24876394.600000001</v>
      </c>
    </row>
    <row r="21" spans="2:27" s="137" customFormat="1" ht="17.25" customHeight="1">
      <c r="B21" s="129" t="s">
        <v>64</v>
      </c>
      <c r="D21" s="162">
        <v>0</v>
      </c>
      <c r="E21" s="162"/>
      <c r="F21" s="162">
        <v>0</v>
      </c>
      <c r="G21" s="162"/>
      <c r="H21" s="162">
        <v>0</v>
      </c>
      <c r="I21" s="162"/>
      <c r="J21" s="162">
        <v>0</v>
      </c>
      <c r="K21" s="162"/>
      <c r="L21" s="162">
        <v>0</v>
      </c>
      <c r="M21" s="162"/>
      <c r="N21" s="162">
        <v>0</v>
      </c>
      <c r="O21" s="162"/>
      <c r="P21" s="162">
        <v>0</v>
      </c>
      <c r="Q21" s="162"/>
      <c r="R21" s="183">
        <v>-8706738.1099999994</v>
      </c>
      <c r="S21" s="183"/>
      <c r="T21" s="182">
        <f>SUM(D21:R21)</f>
        <v>-8706738.1099999994</v>
      </c>
    </row>
    <row r="22" spans="2:27" s="137" customFormat="1" ht="30" customHeight="1">
      <c r="B22" s="133" t="s">
        <v>276</v>
      </c>
      <c r="D22" s="186">
        <f>SUM(D17:D21)</f>
        <v>29790319.059999995</v>
      </c>
      <c r="E22" s="192"/>
      <c r="F22" s="186">
        <f>SUM(F17:F21)</f>
        <v>1769301.11</v>
      </c>
      <c r="G22" s="192"/>
      <c r="H22" s="186">
        <f>SUM(H17:H21)</f>
        <v>133810945.93000001</v>
      </c>
      <c r="I22" s="192"/>
      <c r="J22" s="186">
        <f>SUM(J17:J21)</f>
        <v>133403657.38999999</v>
      </c>
      <c r="K22" s="192"/>
      <c r="L22" s="186">
        <f>SUM(L17:L21)</f>
        <v>0</v>
      </c>
      <c r="M22" s="192"/>
      <c r="N22" s="186">
        <f>SUM(N17:N21)</f>
        <v>0</v>
      </c>
      <c r="O22" s="192"/>
      <c r="P22" s="186">
        <f>SUM(P17:P21)</f>
        <v>0</v>
      </c>
      <c r="Q22" s="193"/>
      <c r="R22" s="186">
        <f>SUM(R17:R21)</f>
        <v>18672016.890000001</v>
      </c>
      <c r="S22" s="192"/>
      <c r="T22" s="187">
        <f>SUM(D22:R22)</f>
        <v>317446240.38</v>
      </c>
    </row>
    <row r="23" spans="2:27" s="137" customFormat="1"/>
    <row r="24" spans="2:27" s="137" customFormat="1"/>
    <row r="25" spans="2:27" s="137" customFormat="1"/>
    <row r="26" spans="2:27" s="137" customFormat="1"/>
    <row r="27" spans="2:27" s="137" customFormat="1"/>
    <row r="28" spans="2:27" s="137" customFormat="1"/>
    <row r="29" spans="2:27" s="137" customFormat="1"/>
    <row r="30" spans="2:27" s="137" customFormat="1"/>
    <row r="31" spans="2:27" s="137" customFormat="1"/>
    <row r="32" spans="2:27" s="137" customFormat="1"/>
    <row r="33" s="137" customFormat="1"/>
    <row r="34" s="137" customFormat="1"/>
    <row r="35" s="137" customFormat="1"/>
    <row r="36" s="137" customFormat="1"/>
    <row r="37" s="137" customFormat="1"/>
    <row r="38" s="137" customFormat="1"/>
    <row r="39" s="137" customFormat="1"/>
    <row r="40" s="137" customFormat="1"/>
    <row r="41" s="137" customFormat="1"/>
    <row r="42" s="137" customFormat="1"/>
    <row r="43" s="137" customFormat="1"/>
    <row r="44" s="137" customFormat="1"/>
    <row r="45" s="137" customFormat="1"/>
    <row r="46" s="137" customFormat="1"/>
    <row r="47" s="137" customFormat="1"/>
    <row r="48" s="137" customFormat="1"/>
    <row r="49" s="137" customFormat="1"/>
    <row r="50" s="137" customFormat="1"/>
    <row r="51" s="137" customFormat="1"/>
    <row r="52" s="137" customFormat="1"/>
    <row r="53" s="137" customFormat="1"/>
    <row r="54" s="137" customFormat="1"/>
    <row r="55" s="137" customFormat="1"/>
    <row r="56" s="137" customFormat="1"/>
    <row r="57" s="137" customFormat="1"/>
    <row r="58" s="137" customFormat="1"/>
    <row r="59" s="137" customFormat="1"/>
    <row r="60" s="137" customFormat="1"/>
    <row r="61" s="137" customFormat="1"/>
    <row r="62" s="137" customFormat="1"/>
    <row r="63" s="137" customFormat="1"/>
    <row r="64" s="137" customFormat="1"/>
    <row r="65" s="137" customFormat="1"/>
    <row r="66" s="137" customFormat="1"/>
    <row r="67" s="137" customFormat="1"/>
    <row r="68" s="137" customFormat="1"/>
    <row r="69" s="137" customFormat="1"/>
    <row r="70" s="137" customFormat="1"/>
    <row r="71" s="137" customFormat="1"/>
    <row r="72" s="137" customFormat="1"/>
    <row r="73" s="137" customFormat="1"/>
    <row r="74" s="137" customFormat="1"/>
    <row r="75" s="137" customFormat="1"/>
    <row r="76" s="137" customFormat="1"/>
    <row r="77" s="137" customFormat="1"/>
    <row r="78" s="137" customFormat="1"/>
    <row r="79" s="137" customFormat="1"/>
    <row r="80" s="137" customFormat="1"/>
    <row r="81" s="137" customFormat="1"/>
    <row r="82" s="137" customFormat="1"/>
    <row r="83" s="137" customFormat="1"/>
    <row r="84" s="137" customFormat="1"/>
    <row r="85" s="137" customFormat="1"/>
    <row r="86" s="137" customFormat="1"/>
    <row r="87" s="137" customFormat="1"/>
    <row r="88" s="137" customFormat="1"/>
    <row r="89" s="137" customFormat="1"/>
    <row r="90" s="137" customFormat="1"/>
    <row r="91" s="137" customFormat="1"/>
  </sheetData>
  <mergeCells count="2">
    <mergeCell ref="D6:T6"/>
    <mergeCell ref="U6:AA6"/>
  </mergeCells>
  <phoneticPr fontId="0" type="noConversion"/>
  <printOptions horizontalCentered="1"/>
  <pageMargins left="0.73619999999999997" right="0" top="0.98419999999999996" bottom="0.16" header="0.433" footer="0"/>
  <pageSetup paperSize="9" scale="65" orientation="landscape" draft="1" r:id="rId1"/>
  <headerFooter alignWithMargins="0">
    <oddHeader>&amp;L&amp;14Notes to the annual financial statements for the year ended 31 December 2002</oddHeader>
    <oddFooter>&amp;L&amp;"Times New Roman Greek,Italic"&amp;11Draft for discussion purposes only</oddFooter>
  </headerFooter>
  <ignoredErrors>
    <ignoredError sqref="H13 J12 H19" unlockedFormula="1"/>
    <ignoredError sqref="T14" formula="1"/>
  </ignoredErrors>
</worksheet>
</file>

<file path=xl/worksheets/sheet13.xml><?xml version="1.0" encoding="utf-8"?>
<worksheet xmlns="http://schemas.openxmlformats.org/spreadsheetml/2006/main" xmlns:r="http://schemas.openxmlformats.org/officeDocument/2006/relationships">
  <sheetPr enableFormatConditionsCalculation="0">
    <tabColor indexed="41"/>
  </sheetPr>
  <dimension ref="A1:L68"/>
  <sheetViews>
    <sheetView showGridLines="0" topLeftCell="A52" zoomScale="85" zoomScaleNormal="75" workbookViewId="0"/>
  </sheetViews>
  <sheetFormatPr defaultRowHeight="12.75"/>
  <cols>
    <col min="1" max="1" width="6" style="410" bestFit="1" customWidth="1"/>
    <col min="2" max="2" width="6" style="410" customWidth="1"/>
    <col min="3" max="3" width="1.5" style="410" customWidth="1"/>
    <col min="4" max="4" width="83.5" style="410" bestFit="1" customWidth="1"/>
    <col min="5" max="5" width="1.1640625" style="410" customWidth="1"/>
    <col min="6" max="6" width="22.83203125" style="411" bestFit="1" customWidth="1"/>
    <col min="7" max="7" width="2.6640625" style="412" customWidth="1"/>
    <col min="8" max="8" width="28" style="413" bestFit="1" customWidth="1"/>
    <col min="9" max="9" width="3.33203125" style="412" customWidth="1"/>
    <col min="10" max="10" width="26.1640625" style="411" bestFit="1" customWidth="1"/>
    <col min="11" max="11" width="7.83203125" style="410" customWidth="1"/>
    <col min="12" max="12" width="42.1640625" style="410" customWidth="1"/>
    <col min="13" max="16384" width="9.33203125" style="410"/>
  </cols>
  <sheetData>
    <row r="1" spans="1:12" s="374" customFormat="1" ht="22.5">
      <c r="A1" s="370"/>
      <c r="B1" s="370">
        <v>29</v>
      </c>
      <c r="C1" s="370"/>
      <c r="D1" s="370" t="s">
        <v>329</v>
      </c>
      <c r="E1" s="403"/>
      <c r="G1" s="403"/>
      <c r="I1" s="404"/>
      <c r="J1" s="403"/>
      <c r="L1" s="403"/>
    </row>
    <row r="2" spans="1:12" s="374" customFormat="1" ht="22.5">
      <c r="A2" s="370"/>
      <c r="B2" s="370"/>
      <c r="C2" s="370"/>
      <c r="D2" s="370"/>
      <c r="E2" s="403"/>
      <c r="G2" s="403"/>
      <c r="I2" s="404"/>
      <c r="J2" s="403"/>
      <c r="L2" s="403"/>
    </row>
    <row r="3" spans="1:12" s="376" customFormat="1" ht="22.5">
      <c r="A3" s="375"/>
      <c r="B3" s="375"/>
      <c r="C3" s="375"/>
      <c r="D3" s="372" t="s">
        <v>2</v>
      </c>
      <c r="E3" s="372"/>
      <c r="F3" s="372"/>
      <c r="G3" s="372"/>
      <c r="H3" s="372"/>
      <c r="I3" s="372"/>
    </row>
    <row r="4" spans="1:12" s="376" customFormat="1" ht="22.5">
      <c r="A4" s="375"/>
      <c r="B4" s="375"/>
      <c r="C4" s="375"/>
      <c r="D4" s="401" t="s">
        <v>230</v>
      </c>
      <c r="E4" s="401"/>
      <c r="F4" s="401"/>
      <c r="G4" s="401"/>
      <c r="H4" s="401"/>
      <c r="I4" s="401"/>
    </row>
    <row r="5" spans="1:12" s="379" customFormat="1" ht="60.75">
      <c r="A5" s="378"/>
      <c r="B5" s="378"/>
      <c r="C5" s="378"/>
      <c r="D5" s="382"/>
      <c r="F5" s="383" t="s">
        <v>313</v>
      </c>
      <c r="G5" s="384"/>
      <c r="H5" s="385" t="s">
        <v>314</v>
      </c>
      <c r="I5" s="386"/>
      <c r="J5" s="383" t="s">
        <v>315</v>
      </c>
    </row>
    <row r="6" spans="1:12" s="379" customFormat="1" ht="27" customHeight="1">
      <c r="A6" s="378"/>
      <c r="B6" s="378"/>
      <c r="C6" s="378"/>
      <c r="D6" s="371" t="s">
        <v>245</v>
      </c>
      <c r="F6" s="650"/>
      <c r="G6" s="650"/>
      <c r="H6" s="650"/>
      <c r="I6" s="377"/>
    </row>
    <row r="7" spans="1:12" s="389" customFormat="1" ht="19.5">
      <c r="A7" s="387"/>
      <c r="B7" s="387"/>
      <c r="C7" s="387"/>
      <c r="D7" s="388" t="s">
        <v>168</v>
      </c>
      <c r="E7" s="388"/>
      <c r="H7" s="390"/>
    </row>
    <row r="8" spans="1:12" s="389" customFormat="1" ht="15.75">
      <c r="A8" s="387"/>
      <c r="B8" s="387"/>
      <c r="C8" s="387"/>
      <c r="D8" s="391" t="s">
        <v>330</v>
      </c>
      <c r="E8" s="391"/>
      <c r="F8" s="392"/>
      <c r="G8" s="392"/>
      <c r="H8" s="393"/>
      <c r="I8" s="392"/>
      <c r="J8" s="392"/>
    </row>
    <row r="9" spans="1:12" s="389" customFormat="1" ht="18.75" customHeight="1">
      <c r="A9" s="441">
        <v>4</v>
      </c>
      <c r="B9" s="405"/>
      <c r="C9" s="406" t="s">
        <v>116</v>
      </c>
      <c r="D9" s="389" t="s">
        <v>331</v>
      </c>
      <c r="F9" s="449">
        <v>166345480.02000001</v>
      </c>
      <c r="G9" s="424"/>
      <c r="H9" s="449">
        <f>J9-F9</f>
        <v>67125049.099999994</v>
      </c>
      <c r="I9" s="393"/>
      <c r="J9" s="449">
        <v>233470529.12</v>
      </c>
      <c r="L9" s="389" t="s">
        <v>325</v>
      </c>
    </row>
    <row r="10" spans="1:12" s="389" customFormat="1" ht="18.75" customHeight="1">
      <c r="A10" s="441">
        <v>5</v>
      </c>
      <c r="B10" s="405"/>
      <c r="C10" s="406" t="s">
        <v>117</v>
      </c>
      <c r="D10" s="389" t="s">
        <v>332</v>
      </c>
      <c r="F10" s="449">
        <v>0</v>
      </c>
      <c r="G10" s="424"/>
      <c r="H10" s="449">
        <f>J10-F10</f>
        <v>7161276.2000000002</v>
      </c>
      <c r="I10" s="393"/>
      <c r="J10" s="449">
        <v>7161276.2000000002</v>
      </c>
      <c r="L10" s="389" t="s">
        <v>326</v>
      </c>
    </row>
    <row r="11" spans="1:12" s="389" customFormat="1" ht="18.75" hidden="1" customHeight="1">
      <c r="A11" s="441">
        <v>6</v>
      </c>
      <c r="B11" s="405"/>
      <c r="C11" s="406" t="s">
        <v>118</v>
      </c>
      <c r="D11" s="389" t="s">
        <v>333</v>
      </c>
      <c r="F11" s="449">
        <v>0</v>
      </c>
      <c r="G11" s="424"/>
      <c r="H11" s="449">
        <f t="shared" ref="H11:H16" si="0">J11-F11</f>
        <v>0</v>
      </c>
      <c r="I11" s="393"/>
      <c r="J11" s="449">
        <v>0</v>
      </c>
    </row>
    <row r="12" spans="1:12" s="389" customFormat="1" ht="18.75" hidden="1" customHeight="1">
      <c r="A12" s="441">
        <v>7</v>
      </c>
      <c r="B12" s="405"/>
      <c r="C12" s="406" t="s">
        <v>119</v>
      </c>
      <c r="D12" s="389" t="s">
        <v>334</v>
      </c>
      <c r="F12" s="449">
        <v>0</v>
      </c>
      <c r="G12" s="424"/>
      <c r="H12" s="449">
        <f t="shared" si="0"/>
        <v>0</v>
      </c>
      <c r="I12" s="393"/>
      <c r="J12" s="449">
        <v>0</v>
      </c>
    </row>
    <row r="13" spans="1:12" s="389" customFormat="1" ht="18.75" customHeight="1">
      <c r="A13" s="441">
        <v>8</v>
      </c>
      <c r="B13" s="405"/>
      <c r="C13" s="406" t="s">
        <v>120</v>
      </c>
      <c r="D13" s="389" t="s">
        <v>335</v>
      </c>
      <c r="F13" s="449">
        <v>513348333.66000003</v>
      </c>
      <c r="G13" s="424"/>
      <c r="H13" s="449">
        <f t="shared" si="0"/>
        <v>0</v>
      </c>
      <c r="I13" s="393"/>
      <c r="J13" s="449">
        <v>513348333.66000003</v>
      </c>
    </row>
    <row r="14" spans="1:12" s="389" customFormat="1" ht="18.75" customHeight="1">
      <c r="A14" s="441">
        <v>9</v>
      </c>
      <c r="B14" s="405"/>
      <c r="C14" s="406" t="s">
        <v>121</v>
      </c>
      <c r="D14" s="389" t="s">
        <v>336</v>
      </c>
      <c r="F14" s="449">
        <v>106529.71</v>
      </c>
      <c r="G14" s="424"/>
      <c r="H14" s="449">
        <f t="shared" si="0"/>
        <v>0</v>
      </c>
      <c r="I14" s="393"/>
      <c r="J14" s="449">
        <v>106529.71</v>
      </c>
    </row>
    <row r="15" spans="1:12" s="389" customFormat="1" ht="18.75" hidden="1" customHeight="1">
      <c r="A15" s="441">
        <v>10</v>
      </c>
      <c r="B15" s="405"/>
      <c r="C15" s="406" t="s">
        <v>122</v>
      </c>
      <c r="D15" s="389" t="s">
        <v>349</v>
      </c>
      <c r="F15" s="449">
        <v>0</v>
      </c>
      <c r="G15" s="424"/>
      <c r="H15" s="449">
        <f t="shared" si="0"/>
        <v>0</v>
      </c>
      <c r="I15" s="393"/>
      <c r="J15" s="449">
        <v>0</v>
      </c>
    </row>
    <row r="16" spans="1:12" s="389" customFormat="1" ht="18.75" customHeight="1">
      <c r="A16" s="441">
        <v>12</v>
      </c>
      <c r="B16" s="405"/>
      <c r="C16" s="406" t="s">
        <v>123</v>
      </c>
      <c r="D16" s="389" t="s">
        <v>350</v>
      </c>
      <c r="F16" s="450">
        <v>2420196</v>
      </c>
      <c r="G16" s="424"/>
      <c r="H16" s="450">
        <f t="shared" si="0"/>
        <v>0</v>
      </c>
      <c r="I16" s="393"/>
      <c r="J16" s="450">
        <v>2420196</v>
      </c>
    </row>
    <row r="17" spans="1:12" s="389" customFormat="1" ht="18.75" hidden="1" customHeight="1">
      <c r="A17" s="441">
        <v>13</v>
      </c>
      <c r="B17" s="405"/>
      <c r="C17" s="406" t="s">
        <v>124</v>
      </c>
      <c r="D17" s="389" t="s">
        <v>351</v>
      </c>
      <c r="F17" s="451">
        <v>0</v>
      </c>
      <c r="G17" s="451"/>
      <c r="H17" s="451">
        <v>0</v>
      </c>
      <c r="I17" s="452"/>
      <c r="J17" s="451">
        <v>0</v>
      </c>
    </row>
    <row r="18" spans="1:12" s="389" customFormat="1" ht="18.75" customHeight="1">
      <c r="A18" s="441">
        <v>14</v>
      </c>
      <c r="B18" s="405"/>
      <c r="C18" s="406" t="s">
        <v>125</v>
      </c>
      <c r="D18" s="389" t="s">
        <v>352</v>
      </c>
      <c r="F18" s="459">
        <v>0</v>
      </c>
      <c r="G18" s="424"/>
      <c r="H18" s="459">
        <f>J18-F18</f>
        <v>2005201.52</v>
      </c>
      <c r="I18" s="393"/>
      <c r="J18" s="459">
        <v>2005201.52</v>
      </c>
    </row>
    <row r="19" spans="1:12" s="389" customFormat="1" ht="24.75" customHeight="1">
      <c r="A19" s="441">
        <v>0</v>
      </c>
      <c r="B19" s="405"/>
      <c r="C19" s="406"/>
      <c r="D19" s="395"/>
      <c r="E19" s="395"/>
      <c r="F19" s="467">
        <f>SUM(F9:F18)</f>
        <v>682220539.3900001</v>
      </c>
      <c r="G19" s="435"/>
      <c r="H19" s="467">
        <f>J19-F19</f>
        <v>76291526.819999933</v>
      </c>
      <c r="I19" s="435"/>
      <c r="J19" s="467">
        <f>SUM(J9:J18)</f>
        <v>758512066.21000004</v>
      </c>
    </row>
    <row r="20" spans="1:12" s="389" customFormat="1" ht="0.75" customHeight="1">
      <c r="A20" s="441"/>
      <c r="B20" s="405"/>
      <c r="C20" s="406"/>
      <c r="D20" s="395"/>
      <c r="E20" s="395"/>
      <c r="F20" s="468"/>
      <c r="G20" s="435"/>
      <c r="H20" s="468"/>
      <c r="I20" s="435"/>
      <c r="J20" s="468"/>
    </row>
    <row r="21" spans="1:12" s="389" customFormat="1" ht="18.75" customHeight="1">
      <c r="A21" s="441"/>
      <c r="B21" s="405"/>
      <c r="C21" s="406"/>
      <c r="D21" s="395"/>
      <c r="E21" s="395"/>
      <c r="F21" s="454"/>
      <c r="G21" s="435"/>
      <c r="H21" s="454"/>
      <c r="I21" s="435"/>
      <c r="J21" s="454"/>
    </row>
    <row r="22" spans="1:12" s="389" customFormat="1" ht="18.75" customHeight="1">
      <c r="A22" s="441">
        <v>0</v>
      </c>
      <c r="B22" s="405"/>
      <c r="C22" s="406"/>
      <c r="D22" s="391" t="s">
        <v>353</v>
      </c>
      <c r="E22" s="391"/>
      <c r="F22" s="455"/>
      <c r="G22" s="455"/>
      <c r="H22" s="455"/>
      <c r="I22" s="455"/>
      <c r="J22" s="455"/>
    </row>
    <row r="23" spans="1:12" s="389" customFormat="1" ht="18.75" customHeight="1">
      <c r="A23" s="441">
        <v>19</v>
      </c>
      <c r="B23" s="405"/>
      <c r="C23" s="406" t="s">
        <v>126</v>
      </c>
      <c r="D23" s="389" t="s">
        <v>354</v>
      </c>
      <c r="F23" s="449">
        <v>61327098.32</v>
      </c>
      <c r="G23" s="424"/>
      <c r="H23" s="449">
        <f t="shared" ref="H23:H28" si="1">J23-F23</f>
        <v>-1261837.450000003</v>
      </c>
      <c r="I23" s="393"/>
      <c r="J23" s="449">
        <v>60065260.869999997</v>
      </c>
      <c r="L23" s="389" t="s">
        <v>104</v>
      </c>
    </row>
    <row r="24" spans="1:12" s="389" customFormat="1" ht="18.75" customHeight="1">
      <c r="A24" s="441">
        <v>20</v>
      </c>
      <c r="B24" s="405"/>
      <c r="C24" s="406" t="s">
        <v>127</v>
      </c>
      <c r="D24" s="389" t="s">
        <v>355</v>
      </c>
      <c r="F24" s="449">
        <f>112051406.49+688301.46</f>
        <v>112739707.94999999</v>
      </c>
      <c r="G24" s="424"/>
      <c r="H24" s="449">
        <f t="shared" si="1"/>
        <v>-19843931.549999997</v>
      </c>
      <c r="I24" s="393"/>
      <c r="J24" s="449">
        <f>92054231.44+841544.96</f>
        <v>92895776.399999991</v>
      </c>
      <c r="L24" s="389" t="s">
        <v>56</v>
      </c>
    </row>
    <row r="25" spans="1:12" s="389" customFormat="1" ht="18.75" hidden="1" customHeight="1">
      <c r="A25" s="441">
        <v>21</v>
      </c>
      <c r="B25" s="405"/>
      <c r="C25" s="406" t="s">
        <v>128</v>
      </c>
      <c r="D25" s="389" t="s">
        <v>356</v>
      </c>
      <c r="F25" s="449">
        <v>0</v>
      </c>
      <c r="G25" s="424"/>
      <c r="H25" s="449">
        <v>0</v>
      </c>
      <c r="I25" s="393"/>
      <c r="J25" s="449">
        <v>0</v>
      </c>
    </row>
    <row r="26" spans="1:12" s="389" customFormat="1" ht="18.75" customHeight="1">
      <c r="A26" s="441">
        <v>22</v>
      </c>
      <c r="B26" s="405"/>
      <c r="C26" s="406" t="s">
        <v>129</v>
      </c>
      <c r="D26" s="389" t="s">
        <v>16</v>
      </c>
      <c r="E26" s="396"/>
      <c r="F26" s="449">
        <v>1140678.29</v>
      </c>
      <c r="G26" s="424"/>
      <c r="H26" s="449">
        <f t="shared" si="1"/>
        <v>0</v>
      </c>
      <c r="I26" s="393"/>
      <c r="J26" s="449">
        <v>1140678.29</v>
      </c>
    </row>
    <row r="27" spans="1:12" s="389" customFormat="1" ht="18.75" customHeight="1">
      <c r="A27" s="441">
        <v>23</v>
      </c>
      <c r="B27" s="405"/>
      <c r="C27" s="406" t="s">
        <v>130</v>
      </c>
      <c r="D27" s="389" t="s">
        <v>83</v>
      </c>
      <c r="F27" s="456">
        <v>21347.7</v>
      </c>
      <c r="G27" s="424"/>
      <c r="H27" s="456">
        <f t="shared" si="1"/>
        <v>0</v>
      </c>
      <c r="I27" s="393"/>
      <c r="J27" s="456">
        <v>21347.7</v>
      </c>
    </row>
    <row r="28" spans="1:12" s="389" customFormat="1" ht="24.75" customHeight="1">
      <c r="A28" s="441">
        <v>0</v>
      </c>
      <c r="B28" s="405"/>
      <c r="C28" s="406"/>
      <c r="D28" s="395"/>
      <c r="E28" s="395"/>
      <c r="F28" s="435">
        <f>SUM(F23:F27)</f>
        <v>175228832.25999996</v>
      </c>
      <c r="G28" s="435"/>
      <c r="H28" s="435">
        <f t="shared" si="1"/>
        <v>-21105769</v>
      </c>
      <c r="I28" s="435"/>
      <c r="J28" s="435">
        <f>SUM(J23:J27)</f>
        <v>154123063.25999996</v>
      </c>
    </row>
    <row r="29" spans="1:12" s="389" customFormat="1" ht="18.75" customHeight="1">
      <c r="A29" s="441">
        <v>0</v>
      </c>
      <c r="B29" s="405"/>
      <c r="C29" s="406"/>
      <c r="F29" s="457"/>
      <c r="G29" s="393"/>
      <c r="H29" s="457"/>
      <c r="I29" s="393"/>
      <c r="J29" s="457"/>
    </row>
    <row r="30" spans="1:12" s="389" customFormat="1" ht="24" customHeight="1" thickBot="1">
      <c r="A30" s="441">
        <v>0</v>
      </c>
      <c r="B30" s="405"/>
      <c r="C30" s="406"/>
      <c r="D30" s="397" t="s">
        <v>308</v>
      </c>
      <c r="E30" s="397"/>
      <c r="F30" s="469">
        <f>F28+F19</f>
        <v>857449371.6500001</v>
      </c>
      <c r="G30" s="435"/>
      <c r="H30" s="469">
        <f>ROUND(H28+H19,2)</f>
        <v>55185757.82</v>
      </c>
      <c r="I30" s="435"/>
      <c r="J30" s="469">
        <f>J28+J19</f>
        <v>912635129.47000003</v>
      </c>
    </row>
    <row r="31" spans="1:12" s="389" customFormat="1" ht="18.75" customHeight="1">
      <c r="A31" s="441">
        <v>0</v>
      </c>
      <c r="B31" s="405"/>
      <c r="C31" s="406"/>
      <c r="F31" s="393"/>
      <c r="G31" s="393"/>
      <c r="H31" s="393"/>
      <c r="I31" s="393"/>
      <c r="J31" s="393"/>
    </row>
    <row r="32" spans="1:12" s="389" customFormat="1" ht="18.75" customHeight="1">
      <c r="A32" s="441">
        <v>0</v>
      </c>
      <c r="B32" s="405"/>
      <c r="C32" s="406"/>
      <c r="D32" s="388" t="s">
        <v>279</v>
      </c>
      <c r="E32" s="388"/>
      <c r="F32" s="458"/>
      <c r="G32" s="458"/>
      <c r="H32" s="458"/>
      <c r="I32" s="458"/>
      <c r="J32" s="458"/>
    </row>
    <row r="33" spans="1:12" s="389" customFormat="1" ht="18.75" customHeight="1">
      <c r="A33" s="441">
        <v>0</v>
      </c>
      <c r="B33" s="405"/>
      <c r="C33" s="406"/>
      <c r="D33" s="391" t="s">
        <v>8</v>
      </c>
      <c r="E33" s="391"/>
      <c r="F33" s="455"/>
      <c r="G33" s="455"/>
      <c r="H33" s="455"/>
      <c r="I33" s="455"/>
      <c r="J33" s="455"/>
    </row>
    <row r="34" spans="1:12" s="389" customFormat="1" ht="18.75" customHeight="1">
      <c r="A34" s="441">
        <v>32</v>
      </c>
      <c r="B34" s="405"/>
      <c r="C34" s="407" t="s">
        <v>131</v>
      </c>
      <c r="D34" s="389" t="s">
        <v>174</v>
      </c>
      <c r="E34" s="398"/>
      <c r="F34" s="449">
        <v>187844101.08000001</v>
      </c>
      <c r="G34" s="424"/>
      <c r="H34" s="449">
        <f>J34-F34</f>
        <v>0</v>
      </c>
      <c r="I34" s="393"/>
      <c r="J34" s="449">
        <f>F34</f>
        <v>187844101.08000001</v>
      </c>
    </row>
    <row r="35" spans="1:12" s="389" customFormat="1" ht="18.75" hidden="1" customHeight="1">
      <c r="A35" s="441">
        <v>33</v>
      </c>
      <c r="B35" s="405"/>
      <c r="C35" s="407" t="s">
        <v>132</v>
      </c>
      <c r="D35" s="389" t="s">
        <v>88</v>
      </c>
      <c r="F35" s="449">
        <v>0</v>
      </c>
      <c r="G35" s="424"/>
      <c r="H35" s="449">
        <f>J35-F35</f>
        <v>0</v>
      </c>
      <c r="I35" s="393"/>
      <c r="J35" s="449">
        <f>F35</f>
        <v>0</v>
      </c>
    </row>
    <row r="36" spans="1:12" s="389" customFormat="1" ht="18.75" hidden="1" customHeight="1">
      <c r="A36" s="441">
        <v>34</v>
      </c>
      <c r="B36" s="405"/>
      <c r="C36" s="407" t="s">
        <v>133</v>
      </c>
      <c r="D36" s="389" t="s">
        <v>9</v>
      </c>
      <c r="F36" s="449">
        <v>0</v>
      </c>
      <c r="G36" s="424"/>
      <c r="H36" s="449">
        <f>J36-F36</f>
        <v>0</v>
      </c>
      <c r="I36" s="393"/>
      <c r="J36" s="449">
        <v>0</v>
      </c>
    </row>
    <row r="37" spans="1:12" s="389" customFormat="1" ht="18.75" hidden="1" customHeight="1">
      <c r="A37" s="441">
        <v>35</v>
      </c>
      <c r="B37" s="405"/>
      <c r="C37" s="407" t="s">
        <v>134</v>
      </c>
      <c r="D37" s="389" t="s">
        <v>74</v>
      </c>
      <c r="F37" s="449">
        <v>0</v>
      </c>
      <c r="G37" s="424"/>
      <c r="H37" s="449">
        <f>J37-F37</f>
        <v>0</v>
      </c>
      <c r="I37" s="393"/>
      <c r="J37" s="449">
        <f>F37</f>
        <v>0</v>
      </c>
    </row>
    <row r="38" spans="1:12" s="389" customFormat="1" ht="18.75" customHeight="1">
      <c r="A38" s="441">
        <v>36</v>
      </c>
      <c r="B38" s="405"/>
      <c r="C38" s="407" t="s">
        <v>135</v>
      </c>
      <c r="D38" s="389" t="s">
        <v>183</v>
      </c>
      <c r="F38" s="449">
        <f>358039959.38+8427866.05</f>
        <v>366467825.43000001</v>
      </c>
      <c r="G38" s="424"/>
      <c r="H38" s="449">
        <v>26198886.329999998</v>
      </c>
      <c r="I38" s="393"/>
      <c r="J38" s="449">
        <f>358042894.08+34623817.68</f>
        <v>392666711.75999999</v>
      </c>
      <c r="L38" s="389" t="s">
        <v>57</v>
      </c>
    </row>
    <row r="39" spans="1:12" s="389" customFormat="1" ht="18.75" hidden="1" customHeight="1">
      <c r="A39" s="441">
        <v>38</v>
      </c>
      <c r="B39" s="405"/>
      <c r="C39" s="407" t="s">
        <v>136</v>
      </c>
      <c r="D39" s="389" t="s">
        <v>10</v>
      </c>
      <c r="F39" s="449">
        <v>0</v>
      </c>
      <c r="G39" s="424"/>
      <c r="H39" s="449">
        <v>0</v>
      </c>
      <c r="I39" s="393"/>
      <c r="J39" s="449">
        <v>0</v>
      </c>
      <c r="L39" s="389" t="s">
        <v>285</v>
      </c>
    </row>
    <row r="40" spans="1:12" s="389" customFormat="1" ht="18.75" hidden="1" customHeight="1">
      <c r="A40" s="441">
        <v>39</v>
      </c>
      <c r="B40" s="405"/>
      <c r="C40" s="407" t="s">
        <v>137</v>
      </c>
      <c r="D40" s="389" t="s">
        <v>11</v>
      </c>
      <c r="F40" s="449">
        <v>0</v>
      </c>
      <c r="G40" s="424"/>
      <c r="H40" s="449">
        <v>0</v>
      </c>
      <c r="I40" s="393"/>
      <c r="J40" s="449">
        <v>0</v>
      </c>
    </row>
    <row r="41" spans="1:12" s="389" customFormat="1" ht="18.75" customHeight="1">
      <c r="A41" s="441">
        <v>40</v>
      </c>
      <c r="B41" s="405"/>
      <c r="C41" s="407" t="s">
        <v>138</v>
      </c>
      <c r="D41" s="389" t="s">
        <v>98</v>
      </c>
      <c r="F41" s="456">
        <v>0</v>
      </c>
      <c r="G41" s="424"/>
      <c r="H41" s="456">
        <v>21017188.289999999</v>
      </c>
      <c r="I41" s="393"/>
      <c r="J41" s="456">
        <f>17595755.9+2849245.95</f>
        <v>20445001.849999998</v>
      </c>
    </row>
    <row r="42" spans="1:12" s="389" customFormat="1" ht="24.75" customHeight="1">
      <c r="A42" s="441">
        <v>0</v>
      </c>
      <c r="B42" s="405"/>
      <c r="C42" s="406"/>
      <c r="D42" s="397" t="s">
        <v>170</v>
      </c>
      <c r="E42" s="397"/>
      <c r="F42" s="460">
        <f>SUM(F34:F41)</f>
        <v>554311926.50999999</v>
      </c>
      <c r="G42" s="435"/>
      <c r="H42" s="460">
        <f>J42-F42</f>
        <v>46643888.180000067</v>
      </c>
      <c r="I42" s="435"/>
      <c r="J42" s="460">
        <f>SUM(J34:J41)</f>
        <v>600955814.69000006</v>
      </c>
    </row>
    <row r="43" spans="1:12" s="389" customFormat="1" ht="18.75" hidden="1" customHeight="1">
      <c r="A43" s="441">
        <v>44</v>
      </c>
      <c r="B43" s="405"/>
      <c r="C43" s="406" t="s">
        <v>139</v>
      </c>
      <c r="D43" s="389" t="s">
        <v>12</v>
      </c>
      <c r="E43" s="399"/>
      <c r="F43" s="459">
        <v>0</v>
      </c>
      <c r="G43" s="424"/>
      <c r="H43" s="459">
        <v>0</v>
      </c>
      <c r="I43" s="393"/>
      <c r="J43" s="459">
        <v>0</v>
      </c>
    </row>
    <row r="44" spans="1:12" s="389" customFormat="1" ht="18.75" customHeight="1">
      <c r="A44" s="441">
        <v>0</v>
      </c>
      <c r="B44" s="405"/>
      <c r="C44" s="406"/>
      <c r="D44" s="400"/>
      <c r="E44" s="400"/>
      <c r="F44" s="393"/>
      <c r="G44" s="393"/>
      <c r="H44" s="393"/>
      <c r="I44" s="393"/>
      <c r="J44" s="393"/>
    </row>
    <row r="45" spans="1:12" s="389" customFormat="1" ht="18.75" customHeight="1">
      <c r="A45" s="441">
        <v>0</v>
      </c>
      <c r="B45" s="405"/>
      <c r="C45" s="406"/>
      <c r="D45" s="391" t="s">
        <v>13</v>
      </c>
      <c r="E45" s="391"/>
      <c r="F45" s="393"/>
      <c r="G45" s="393"/>
      <c r="H45" s="393"/>
      <c r="I45" s="393"/>
      <c r="J45" s="393"/>
    </row>
    <row r="46" spans="1:12" s="389" customFormat="1" ht="18.75" customHeight="1">
      <c r="A46" s="441">
        <v>47</v>
      </c>
      <c r="B46" s="405"/>
      <c r="C46" s="406" t="s">
        <v>140</v>
      </c>
      <c r="D46" s="389" t="s">
        <v>14</v>
      </c>
      <c r="F46" s="449">
        <f>J46</f>
        <v>62378149.770000003</v>
      </c>
      <c r="G46" s="424"/>
      <c r="H46" s="449">
        <f t="shared" ref="H46:H51" si="2">J46-F46</f>
        <v>0</v>
      </c>
      <c r="I46" s="393"/>
      <c r="J46" s="449">
        <v>62378149.770000003</v>
      </c>
    </row>
    <row r="47" spans="1:12" s="389" customFormat="1" ht="18.75" customHeight="1">
      <c r="A47" s="441">
        <v>48</v>
      </c>
      <c r="B47" s="405"/>
      <c r="C47" s="406" t="s">
        <v>141</v>
      </c>
      <c r="D47" s="389" t="s">
        <v>15</v>
      </c>
      <c r="F47" s="449">
        <v>0</v>
      </c>
      <c r="G47" s="424"/>
      <c r="H47" s="449">
        <f t="shared" si="2"/>
        <v>44409611.060000002</v>
      </c>
      <c r="I47" s="393"/>
      <c r="J47" s="449">
        <v>44409611.060000002</v>
      </c>
      <c r="L47" s="389" t="s">
        <v>231</v>
      </c>
    </row>
    <row r="48" spans="1:12" s="389" customFormat="1" ht="18.75" customHeight="1">
      <c r="A48" s="441">
        <v>49</v>
      </c>
      <c r="B48" s="405"/>
      <c r="C48" s="406" t="s">
        <v>142</v>
      </c>
      <c r="D48" s="389" t="s">
        <v>176</v>
      </c>
      <c r="F48" s="449">
        <v>22882830</v>
      </c>
      <c r="G48" s="424"/>
      <c r="H48" s="449">
        <f t="shared" si="2"/>
        <v>1231599.6999999993</v>
      </c>
      <c r="I48" s="393"/>
      <c r="J48" s="449">
        <v>24114429.699999999</v>
      </c>
      <c r="L48" s="389" t="s">
        <v>58</v>
      </c>
    </row>
    <row r="49" spans="1:12" s="389" customFormat="1" ht="18.75" customHeight="1">
      <c r="A49" s="441">
        <v>50</v>
      </c>
      <c r="B49" s="405"/>
      <c r="C49" s="406" t="s">
        <v>143</v>
      </c>
      <c r="D49" s="389" t="s">
        <v>99</v>
      </c>
      <c r="F49" s="449">
        <v>37949788.710000001</v>
      </c>
      <c r="G49" s="424"/>
      <c r="H49" s="449">
        <f t="shared" si="2"/>
        <v>-27949788.710000001</v>
      </c>
      <c r="I49" s="393"/>
      <c r="J49" s="449">
        <v>10000000</v>
      </c>
      <c r="L49" s="389" t="s">
        <v>327</v>
      </c>
    </row>
    <row r="50" spans="1:12" s="389" customFormat="1" ht="18.75" customHeight="1">
      <c r="A50" s="441">
        <v>51</v>
      </c>
      <c r="B50" s="405"/>
      <c r="C50" s="406" t="s">
        <v>144</v>
      </c>
      <c r="D50" s="389" t="s">
        <v>18</v>
      </c>
      <c r="F50" s="456">
        <v>0</v>
      </c>
      <c r="G50" s="424"/>
      <c r="H50" s="456">
        <f t="shared" si="2"/>
        <v>6210367.6500000004</v>
      </c>
      <c r="I50" s="393"/>
      <c r="J50" s="456">
        <v>6210367.6500000004</v>
      </c>
      <c r="L50" s="389" t="s">
        <v>328</v>
      </c>
    </row>
    <row r="51" spans="1:12" s="389" customFormat="1" ht="18.75" hidden="1" customHeight="1">
      <c r="A51" s="441">
        <v>52</v>
      </c>
      <c r="B51" s="405"/>
      <c r="C51" s="406" t="s">
        <v>145</v>
      </c>
      <c r="D51" s="389" t="s">
        <v>19</v>
      </c>
      <c r="F51" s="456">
        <v>0</v>
      </c>
      <c r="G51" s="424"/>
      <c r="H51" s="456">
        <f t="shared" si="2"/>
        <v>0</v>
      </c>
      <c r="I51" s="393"/>
      <c r="J51" s="456">
        <v>0</v>
      </c>
    </row>
    <row r="52" spans="1:12" s="389" customFormat="1" ht="24.75" customHeight="1">
      <c r="A52" s="441">
        <v>0</v>
      </c>
      <c r="B52" s="405"/>
      <c r="C52" s="406"/>
      <c r="D52" s="395"/>
      <c r="E52" s="395"/>
      <c r="F52" s="435">
        <f>SUM(F46:F51)</f>
        <v>123210768.48000002</v>
      </c>
      <c r="G52" s="435"/>
      <c r="H52" s="435">
        <f>J52-F52</f>
        <v>23901789.700000018</v>
      </c>
      <c r="I52" s="435"/>
      <c r="J52" s="435">
        <f>SUM(J46:J51)</f>
        <v>147112558.18000004</v>
      </c>
    </row>
    <row r="53" spans="1:12" s="389" customFormat="1" ht="0.75" customHeight="1">
      <c r="A53" s="441">
        <v>0</v>
      </c>
      <c r="B53" s="405"/>
      <c r="C53" s="406"/>
      <c r="F53" s="470"/>
      <c r="G53" s="393"/>
      <c r="H53" s="470"/>
      <c r="I53" s="393"/>
      <c r="J53" s="470"/>
    </row>
    <row r="54" spans="1:12" s="389" customFormat="1" ht="18.75" customHeight="1">
      <c r="A54" s="441">
        <v>0</v>
      </c>
      <c r="B54" s="405"/>
      <c r="C54" s="406"/>
      <c r="D54" s="391" t="s">
        <v>188</v>
      </c>
      <c r="E54" s="391"/>
      <c r="F54" s="393"/>
      <c r="G54" s="393"/>
      <c r="H54" s="393"/>
      <c r="I54" s="393"/>
      <c r="J54" s="393"/>
    </row>
    <row r="55" spans="1:12" s="389" customFormat="1" ht="18.75" customHeight="1">
      <c r="A55" s="441">
        <v>57</v>
      </c>
      <c r="B55" s="405"/>
      <c r="C55" s="406" t="s">
        <v>146</v>
      </c>
      <c r="D55" s="389" t="s">
        <v>85</v>
      </c>
      <c r="F55" s="449">
        <v>50354621.880000003</v>
      </c>
      <c r="G55" s="424"/>
      <c r="H55" s="449">
        <f t="shared" ref="H55:H61" si="3">J55-F55</f>
        <v>5922189.4600000009</v>
      </c>
      <c r="I55" s="393"/>
      <c r="J55" s="449">
        <v>56276811.340000004</v>
      </c>
      <c r="L55" s="389" t="s">
        <v>233</v>
      </c>
    </row>
    <row r="56" spans="1:12" s="389" customFormat="1" ht="18.75" hidden="1" customHeight="1">
      <c r="A56" s="441">
        <v>58</v>
      </c>
      <c r="B56" s="405"/>
      <c r="C56" s="406" t="s">
        <v>147</v>
      </c>
      <c r="D56" s="389" t="s">
        <v>20</v>
      </c>
      <c r="F56" s="449">
        <v>0</v>
      </c>
      <c r="G56" s="424"/>
      <c r="H56" s="449">
        <f t="shared" si="3"/>
        <v>0</v>
      </c>
      <c r="I56" s="393"/>
      <c r="J56" s="449">
        <v>0</v>
      </c>
    </row>
    <row r="57" spans="1:12" s="389" customFormat="1" ht="18.75" customHeight="1">
      <c r="A57" s="441">
        <v>59</v>
      </c>
      <c r="B57" s="405"/>
      <c r="C57" s="406" t="s">
        <v>148</v>
      </c>
      <c r="D57" s="389" t="s">
        <v>189</v>
      </c>
      <c r="F57" s="449">
        <v>28808148.73</v>
      </c>
      <c r="G57" s="424"/>
      <c r="H57" s="449">
        <f t="shared" si="3"/>
        <v>-21282109.52</v>
      </c>
      <c r="I57" s="393"/>
      <c r="J57" s="449">
        <v>7526039.21</v>
      </c>
      <c r="L57" s="389" t="s">
        <v>232</v>
      </c>
    </row>
    <row r="58" spans="1:12" s="389" customFormat="1" ht="18.75" hidden="1" customHeight="1">
      <c r="A58" s="441">
        <v>60</v>
      </c>
      <c r="B58" s="405"/>
      <c r="C58" s="406" t="s">
        <v>149</v>
      </c>
      <c r="D58" s="389" t="s">
        <v>21</v>
      </c>
      <c r="F58" s="449">
        <v>0</v>
      </c>
      <c r="G58" s="424"/>
      <c r="H58" s="449">
        <f t="shared" si="3"/>
        <v>0</v>
      </c>
      <c r="I58" s="393"/>
      <c r="J58" s="449">
        <v>0</v>
      </c>
    </row>
    <row r="59" spans="1:12" s="389" customFormat="1" ht="18.75" customHeight="1">
      <c r="A59" s="441">
        <v>61</v>
      </c>
      <c r="B59" s="405"/>
      <c r="C59" s="406" t="s">
        <v>150</v>
      </c>
      <c r="D59" s="389" t="s">
        <v>359</v>
      </c>
      <c r="F59" s="449">
        <v>56642747.829999998</v>
      </c>
      <c r="G59" s="424"/>
      <c r="H59" s="449">
        <f t="shared" si="3"/>
        <v>0</v>
      </c>
      <c r="I59" s="393"/>
      <c r="J59" s="449">
        <v>56642747.829999998</v>
      </c>
    </row>
    <row r="60" spans="1:12" s="389" customFormat="1" ht="18.75" customHeight="1">
      <c r="A60" s="441">
        <v>62</v>
      </c>
      <c r="B60" s="405"/>
      <c r="C60" s="406" t="s">
        <v>151</v>
      </c>
      <c r="D60" s="389" t="s">
        <v>173</v>
      </c>
      <c r="F60" s="449">
        <v>0</v>
      </c>
      <c r="G60" s="424"/>
      <c r="H60" s="449">
        <f t="shared" si="3"/>
        <v>0</v>
      </c>
      <c r="I60" s="393"/>
      <c r="J60" s="449">
        <v>0</v>
      </c>
      <c r="L60" s="389" t="s">
        <v>59</v>
      </c>
    </row>
    <row r="61" spans="1:12" s="389" customFormat="1" ht="18.75" customHeight="1">
      <c r="A61" s="441">
        <v>63</v>
      </c>
      <c r="B61" s="405"/>
      <c r="C61" s="406" t="s">
        <v>152</v>
      </c>
      <c r="D61" s="389" t="s">
        <v>190</v>
      </c>
      <c r="F61" s="449">
        <v>44121158.219999999</v>
      </c>
      <c r="G61" s="424"/>
      <c r="H61" s="449">
        <f t="shared" si="3"/>
        <v>0</v>
      </c>
      <c r="I61" s="393"/>
      <c r="J61" s="449">
        <v>44121158.219999999</v>
      </c>
    </row>
    <row r="62" spans="1:12" s="389" customFormat="1" ht="24.75" customHeight="1">
      <c r="A62" s="441">
        <v>0</v>
      </c>
      <c r="B62" s="405"/>
      <c r="C62" s="406"/>
      <c r="D62" s="395"/>
      <c r="E62" s="395"/>
      <c r="F62" s="460">
        <f>SUM(F55:F61)</f>
        <v>179926676.66</v>
      </c>
      <c r="G62" s="435"/>
      <c r="H62" s="460">
        <f>SUM(H55:H61)</f>
        <v>-15359920.059999999</v>
      </c>
      <c r="I62" s="435"/>
      <c r="J62" s="460">
        <f>SUM(J55:J61)</f>
        <v>164566756.59999999</v>
      </c>
    </row>
    <row r="63" spans="1:12" s="389" customFormat="1" ht="24.75" customHeight="1">
      <c r="A63" s="441">
        <v>0</v>
      </c>
      <c r="B63" s="405"/>
      <c r="C63" s="406"/>
      <c r="D63" s="397" t="s">
        <v>191</v>
      </c>
      <c r="E63" s="397"/>
      <c r="F63" s="435">
        <f>F62+F52</f>
        <v>303137445.13999999</v>
      </c>
      <c r="G63" s="435"/>
      <c r="H63" s="435">
        <f>H62+H52</f>
        <v>8541869.6400000192</v>
      </c>
      <c r="I63" s="435"/>
      <c r="J63" s="435">
        <f>J62+J52</f>
        <v>311679314.78000003</v>
      </c>
    </row>
    <row r="64" spans="1:12" s="389" customFormat="1" ht="18" customHeight="1">
      <c r="A64" s="441">
        <v>0</v>
      </c>
      <c r="B64" s="405"/>
      <c r="C64" s="406"/>
      <c r="F64" s="457"/>
      <c r="G64" s="393"/>
      <c r="H64" s="457"/>
      <c r="I64" s="393"/>
      <c r="J64" s="457"/>
    </row>
    <row r="65" spans="1:10" s="389" customFormat="1" ht="24.75" customHeight="1" thickBot="1">
      <c r="A65" s="441">
        <v>0</v>
      </c>
      <c r="B65" s="405"/>
      <c r="C65" s="406"/>
      <c r="D65" s="397" t="s">
        <v>192</v>
      </c>
      <c r="E65" s="397"/>
      <c r="F65" s="469">
        <f>F63+F42</f>
        <v>857449371.64999998</v>
      </c>
      <c r="G65" s="435"/>
      <c r="H65" s="469">
        <f>ROUND(H63+H42,2)</f>
        <v>55185757.82</v>
      </c>
      <c r="I65" s="435"/>
      <c r="J65" s="469">
        <f>J63+J42</f>
        <v>912635129.47000003</v>
      </c>
    </row>
    <row r="66" spans="1:10" s="389" customFormat="1">
      <c r="A66" s="441">
        <v>0</v>
      </c>
      <c r="B66" s="405">
        <v>0</v>
      </c>
      <c r="C66" s="406"/>
      <c r="F66" s="408"/>
      <c r="G66" s="409"/>
      <c r="H66" s="390"/>
      <c r="I66" s="409"/>
      <c r="J66" s="408"/>
    </row>
    <row r="67" spans="1:10" s="389" customFormat="1">
      <c r="A67" s="441">
        <v>0</v>
      </c>
      <c r="B67" s="405">
        <v>0</v>
      </c>
      <c r="C67" s="406"/>
      <c r="F67" s="408"/>
      <c r="G67" s="409"/>
      <c r="H67" s="390"/>
      <c r="I67" s="409"/>
      <c r="J67" s="408"/>
    </row>
    <row r="68" spans="1:10">
      <c r="F68" s="411">
        <f>+F65-F30</f>
        <v>0</v>
      </c>
      <c r="H68" s="411">
        <f>+H65-H30</f>
        <v>0</v>
      </c>
      <c r="J68" s="411">
        <f>+J65-J30</f>
        <v>0</v>
      </c>
    </row>
  </sheetData>
  <mergeCells count="1">
    <mergeCell ref="F6:H6"/>
  </mergeCells>
  <phoneticPr fontId="1" type="noConversion"/>
  <conditionalFormatting sqref="F5 H5 J5">
    <cfRule type="expression" dxfId="1" priority="1" stopIfTrue="1">
      <formula>F30&lt;&gt;F65</formula>
    </cfRule>
  </conditionalFormatting>
  <printOptions horizontalCentered="1"/>
  <pageMargins left="0" right="0" top="0.78740157480314965" bottom="0.62992125984251968" header="0" footer="0"/>
  <pageSetup paperSize="9" scale="54" orientation="portrait" horizontalDpi="300" verticalDpi="300" r:id="rId1"/>
  <headerFooter alignWithMargins="0">
    <oddFooter xml:space="preserve">&amp;L&amp;"Times New Roman Greek,Italic"&amp;8Draft for discussion purposes only&amp;R50
</oddFooter>
  </headerFooter>
  <rowBreaks count="1" manualBreakCount="1">
    <brk id="65" max="16383" man="1"/>
  </rowBreaks>
  <ignoredErrors>
    <ignoredError sqref="H18" unlockedFormula="1"/>
  </ignoredErrors>
</worksheet>
</file>

<file path=xl/worksheets/sheet14.xml><?xml version="1.0" encoding="utf-8"?>
<worksheet xmlns="http://schemas.openxmlformats.org/spreadsheetml/2006/main" xmlns:r="http://schemas.openxmlformats.org/officeDocument/2006/relationships">
  <sheetPr enableFormatConditionsCalculation="0">
    <tabColor indexed="41"/>
  </sheetPr>
  <dimension ref="A1:L44"/>
  <sheetViews>
    <sheetView showGridLines="0" zoomScale="85" zoomScaleNormal="75" workbookViewId="0"/>
  </sheetViews>
  <sheetFormatPr defaultRowHeight="12.75"/>
  <cols>
    <col min="1" max="2" width="6" style="410" bestFit="1" customWidth="1"/>
    <col min="3" max="3" width="1.5" style="410" customWidth="1"/>
    <col min="4" max="4" width="83.5" style="410" bestFit="1" customWidth="1"/>
    <col min="5" max="5" width="1.1640625" style="410" customWidth="1"/>
    <col min="6" max="6" width="22.6640625" style="411" bestFit="1" customWidth="1"/>
    <col min="7" max="7" width="2.6640625" style="412" customWidth="1"/>
    <col min="8" max="8" width="26.1640625" style="413" bestFit="1" customWidth="1"/>
    <col min="9" max="9" width="3.33203125" style="412" customWidth="1"/>
    <col min="10" max="10" width="26.1640625" style="411" bestFit="1" customWidth="1"/>
    <col min="11" max="11" width="7.83203125" style="410" customWidth="1"/>
    <col min="12" max="12" width="42.1640625" style="410" customWidth="1"/>
    <col min="13" max="16384" width="9.33203125" style="410"/>
  </cols>
  <sheetData>
    <row r="1" spans="1:12" s="374" customFormat="1" ht="22.5">
      <c r="A1" s="370"/>
      <c r="B1" s="370">
        <v>29</v>
      </c>
      <c r="C1" s="370"/>
      <c r="D1" s="370" t="s">
        <v>329</v>
      </c>
      <c r="E1" s="403"/>
      <c r="G1" s="403"/>
      <c r="I1" s="404"/>
      <c r="J1" s="403"/>
      <c r="L1" s="403"/>
    </row>
    <row r="2" spans="1:12" s="374" customFormat="1" ht="22.5" customHeight="1">
      <c r="A2" s="370"/>
      <c r="B2" s="370"/>
      <c r="C2" s="370"/>
      <c r="D2" s="370"/>
      <c r="E2" s="403"/>
      <c r="G2" s="403"/>
      <c r="I2" s="404"/>
      <c r="J2" s="403"/>
      <c r="L2" s="403"/>
    </row>
    <row r="3" spans="1:12" s="376" customFormat="1" ht="22.5">
      <c r="A3" s="441">
        <v>0</v>
      </c>
      <c r="B3" s="405"/>
      <c r="C3" s="414"/>
      <c r="D3" s="651" t="str">
        <f>+'29 Reconciliation of equity'!D3</f>
        <v>Company</v>
      </c>
      <c r="E3" s="651"/>
      <c r="F3" s="651"/>
      <c r="G3" s="651"/>
      <c r="H3" s="651"/>
      <c r="I3" s="651"/>
    </row>
    <row r="4" spans="1:12" s="376" customFormat="1" ht="22.5">
      <c r="A4" s="441"/>
      <c r="B4" s="405"/>
      <c r="C4" s="414"/>
      <c r="D4" s="651" t="s">
        <v>234</v>
      </c>
      <c r="E4" s="651"/>
      <c r="F4" s="651"/>
      <c r="G4" s="651"/>
      <c r="H4" s="651"/>
      <c r="I4" s="651"/>
    </row>
    <row r="5" spans="1:12" s="402" customFormat="1" ht="11.25" customHeight="1">
      <c r="A5" s="441">
        <v>0</v>
      </c>
      <c r="B5" s="405"/>
      <c r="C5" s="414"/>
      <c r="D5" s="415"/>
      <c r="E5" s="415"/>
      <c r="F5" s="416"/>
      <c r="G5" s="417"/>
      <c r="H5" s="418"/>
      <c r="I5" s="417"/>
      <c r="J5" s="416"/>
    </row>
    <row r="6" spans="1:12" s="376" customFormat="1" ht="60.75">
      <c r="A6" s="441">
        <v>0</v>
      </c>
      <c r="B6" s="405"/>
      <c r="C6" s="414"/>
      <c r="D6" s="419"/>
      <c r="E6" s="419"/>
      <c r="F6" s="383" t="s">
        <v>313</v>
      </c>
      <c r="G6" s="384"/>
      <c r="H6" s="385" t="s">
        <v>314</v>
      </c>
      <c r="I6" s="386"/>
      <c r="J6" s="383" t="s">
        <v>315</v>
      </c>
    </row>
    <row r="7" spans="1:12" s="376" customFormat="1" ht="18.75">
      <c r="A7" s="441"/>
      <c r="B7" s="405"/>
      <c r="C7" s="414"/>
      <c r="D7" s="373" t="s">
        <v>245</v>
      </c>
      <c r="E7" s="419"/>
      <c r="F7" s="381"/>
      <c r="G7" s="381"/>
      <c r="H7" s="380"/>
      <c r="I7" s="377"/>
      <c r="J7" s="420"/>
    </row>
    <row r="8" spans="1:12" s="376" customFormat="1" ht="20.25">
      <c r="A8" s="441">
        <v>0</v>
      </c>
      <c r="B8" s="405"/>
      <c r="C8" s="414"/>
      <c r="D8" s="421"/>
      <c r="E8" s="421"/>
      <c r="F8" s="422"/>
      <c r="G8" s="384"/>
      <c r="H8" s="423"/>
      <c r="I8" s="384"/>
      <c r="J8" s="422"/>
    </row>
    <row r="9" spans="1:12" s="389" customFormat="1" ht="18.75" customHeight="1">
      <c r="A9" s="441">
        <v>73</v>
      </c>
      <c r="B9" s="405"/>
      <c r="C9" s="406" t="s">
        <v>153</v>
      </c>
      <c r="D9" s="389" t="s">
        <v>33</v>
      </c>
      <c r="F9" s="449">
        <v>430679529.97000003</v>
      </c>
      <c r="G9" s="424"/>
      <c r="H9" s="449">
        <f>J9-F9</f>
        <v>0</v>
      </c>
      <c r="I9" s="393"/>
      <c r="J9" s="449">
        <v>430679529.97000003</v>
      </c>
    </row>
    <row r="10" spans="1:12" s="389" customFormat="1" ht="18.75" customHeight="1">
      <c r="A10" s="441">
        <v>74</v>
      </c>
      <c r="B10" s="405"/>
      <c r="C10" s="406" t="s">
        <v>154</v>
      </c>
      <c r="D10" s="389" t="s">
        <v>34</v>
      </c>
      <c r="F10" s="456">
        <v>-295776142.37</v>
      </c>
      <c r="G10" s="424"/>
      <c r="H10" s="456">
        <f>J10-F10</f>
        <v>27971315.640000015</v>
      </c>
      <c r="I10" s="393"/>
      <c r="J10" s="456">
        <v>-267804826.72999999</v>
      </c>
    </row>
    <row r="11" spans="1:12" s="389" customFormat="1" ht="18.75" hidden="1" customHeight="1">
      <c r="A11" s="441">
        <v>75</v>
      </c>
      <c r="B11" s="405"/>
      <c r="C11" s="406" t="s">
        <v>316</v>
      </c>
      <c r="D11" s="389" t="s">
        <v>35</v>
      </c>
      <c r="F11" s="456">
        <v>0</v>
      </c>
      <c r="G11" s="424"/>
      <c r="H11" s="456">
        <f>J11-F11</f>
        <v>0</v>
      </c>
      <c r="I11" s="393"/>
      <c r="J11" s="456">
        <v>0</v>
      </c>
    </row>
    <row r="12" spans="1:12" s="426" customFormat="1" ht="18.75" customHeight="1">
      <c r="A12" s="441">
        <v>0</v>
      </c>
      <c r="B12" s="405"/>
      <c r="C12" s="425"/>
      <c r="D12" s="426" t="s">
        <v>193</v>
      </c>
      <c r="F12" s="427">
        <f>SUM(F9:F11)</f>
        <v>134903387.60000002</v>
      </c>
      <c r="G12" s="427"/>
      <c r="H12" s="427">
        <f>SUM(H9:H11)</f>
        <v>27971315.640000015</v>
      </c>
      <c r="I12" s="427"/>
      <c r="J12" s="427">
        <f>SUM(J9:J11)</f>
        <v>162874703.24000004</v>
      </c>
    </row>
    <row r="13" spans="1:12" s="389" customFormat="1" ht="18.75" customHeight="1">
      <c r="A13" s="441">
        <v>78</v>
      </c>
      <c r="B13" s="405"/>
      <c r="C13" s="406" t="s">
        <v>155</v>
      </c>
      <c r="D13" s="389" t="s">
        <v>36</v>
      </c>
      <c r="F13" s="449">
        <v>19312333.07</v>
      </c>
      <c r="G13" s="424"/>
      <c r="H13" s="449">
        <f t="shared" ref="H13:H18" si="0">J13-F13</f>
        <v>7221683.2899999991</v>
      </c>
      <c r="I13" s="393"/>
      <c r="J13" s="449">
        <v>26534016.359999999</v>
      </c>
    </row>
    <row r="14" spans="1:12" s="389" customFormat="1" ht="18.75" customHeight="1">
      <c r="A14" s="441">
        <v>79</v>
      </c>
      <c r="B14" s="405"/>
      <c r="C14" s="406" t="s">
        <v>156</v>
      </c>
      <c r="D14" s="389" t="s">
        <v>37</v>
      </c>
      <c r="F14" s="449">
        <v>-29867211.289999999</v>
      </c>
      <c r="G14" s="424"/>
      <c r="H14" s="449">
        <f t="shared" si="0"/>
        <v>-6119908.0700000003</v>
      </c>
      <c r="I14" s="393"/>
      <c r="J14" s="449">
        <v>-35987119.359999999</v>
      </c>
    </row>
    <row r="15" spans="1:12" s="389" customFormat="1" ht="18.75" hidden="1" customHeight="1">
      <c r="A15" s="441">
        <v>80</v>
      </c>
      <c r="B15" s="405"/>
      <c r="C15" s="406" t="s">
        <v>317</v>
      </c>
      <c r="D15" s="389" t="s">
        <v>38</v>
      </c>
      <c r="F15" s="449">
        <v>0</v>
      </c>
      <c r="G15" s="424"/>
      <c r="H15" s="449">
        <f t="shared" si="0"/>
        <v>0</v>
      </c>
      <c r="I15" s="393"/>
      <c r="J15" s="449">
        <v>0</v>
      </c>
    </row>
    <row r="16" spans="1:12" s="389" customFormat="1" ht="18.75" customHeight="1">
      <c r="A16" s="441">
        <v>81</v>
      </c>
      <c r="B16" s="405"/>
      <c r="C16" s="406" t="s">
        <v>157</v>
      </c>
      <c r="D16" s="389" t="s">
        <v>39</v>
      </c>
      <c r="F16" s="449">
        <v>-3621614.09</v>
      </c>
      <c r="G16" s="424"/>
      <c r="H16" s="449">
        <f t="shared" si="0"/>
        <v>0</v>
      </c>
      <c r="I16" s="393"/>
      <c r="J16" s="449">
        <v>-3621614.09</v>
      </c>
    </row>
    <row r="17" spans="1:10" s="389" customFormat="1" ht="18.75" hidden="1" customHeight="1">
      <c r="A17" s="441">
        <v>82</v>
      </c>
      <c r="B17" s="405"/>
      <c r="C17" s="406" t="s">
        <v>158</v>
      </c>
      <c r="D17" s="389" t="s">
        <v>40</v>
      </c>
      <c r="F17" s="449">
        <v>0</v>
      </c>
      <c r="G17" s="424"/>
      <c r="H17" s="449">
        <f t="shared" si="0"/>
        <v>0</v>
      </c>
      <c r="I17" s="393"/>
      <c r="J17" s="449">
        <v>0</v>
      </c>
    </row>
    <row r="18" spans="1:10" s="389" customFormat="1" ht="18.75" customHeight="1">
      <c r="A18" s="441">
        <v>83</v>
      </c>
      <c r="B18" s="405"/>
      <c r="C18" s="406" t="s">
        <v>159</v>
      </c>
      <c r="D18" s="389" t="s">
        <v>41</v>
      </c>
      <c r="F18" s="456">
        <v>0</v>
      </c>
      <c r="G18" s="424"/>
      <c r="H18" s="456">
        <f t="shared" si="0"/>
        <v>-490748.03</v>
      </c>
      <c r="I18" s="393"/>
      <c r="J18" s="456">
        <v>-490748.03</v>
      </c>
    </row>
    <row r="19" spans="1:10" s="389" customFormat="1" ht="18.75" hidden="1" customHeight="1">
      <c r="A19" s="441">
        <v>84</v>
      </c>
      <c r="B19" s="405"/>
      <c r="C19" s="406" t="s">
        <v>160</v>
      </c>
      <c r="D19" s="389" t="s">
        <v>42</v>
      </c>
      <c r="F19" s="461"/>
      <c r="G19" s="424"/>
      <c r="H19" s="461"/>
      <c r="I19" s="393"/>
      <c r="J19" s="461"/>
    </row>
    <row r="20" spans="1:10" s="389" customFormat="1" ht="18.75" hidden="1" customHeight="1">
      <c r="A20" s="441">
        <v>85</v>
      </c>
      <c r="B20" s="405"/>
      <c r="C20" s="406" t="s">
        <v>318</v>
      </c>
      <c r="D20" s="389" t="s">
        <v>43</v>
      </c>
      <c r="F20" s="461"/>
      <c r="G20" s="424"/>
      <c r="H20" s="461"/>
      <c r="I20" s="393"/>
      <c r="J20" s="461"/>
    </row>
    <row r="21" spans="1:10" s="389" customFormat="1" ht="18.75" hidden="1" customHeight="1">
      <c r="A21" s="441">
        <v>86</v>
      </c>
      <c r="B21" s="405"/>
      <c r="C21" s="406" t="s">
        <v>161</v>
      </c>
      <c r="D21" s="389" t="s">
        <v>44</v>
      </c>
      <c r="F21" s="453"/>
      <c r="G21" s="424"/>
      <c r="H21" s="453"/>
      <c r="I21" s="393"/>
      <c r="J21" s="453"/>
    </row>
    <row r="22" spans="1:10" s="429" customFormat="1" ht="18.75" customHeight="1">
      <c r="A22" s="441">
        <v>0</v>
      </c>
      <c r="B22" s="405"/>
      <c r="C22" s="428"/>
      <c r="D22" s="426" t="s">
        <v>362</v>
      </c>
      <c r="E22" s="426"/>
      <c r="F22" s="427">
        <f>SUM(F12:F21)</f>
        <v>120726895.29000002</v>
      </c>
      <c r="G22" s="427"/>
      <c r="H22" s="427">
        <f>SUM(H12:H21)</f>
        <v>28582342.830000013</v>
      </c>
      <c r="I22" s="427"/>
      <c r="J22" s="427">
        <f>SUM(J12:J21)</f>
        <v>149309238.12</v>
      </c>
    </row>
    <row r="23" spans="1:10" s="429" customFormat="1" ht="18.75" customHeight="1">
      <c r="A23" s="441">
        <v>0</v>
      </c>
      <c r="B23" s="405"/>
      <c r="C23" s="428"/>
      <c r="D23" s="426"/>
      <c r="E23" s="426"/>
      <c r="F23" s="430"/>
      <c r="G23" s="430"/>
      <c r="H23" s="430"/>
      <c r="I23" s="430"/>
      <c r="J23" s="430"/>
    </row>
    <row r="24" spans="1:10" s="389" customFormat="1" ht="18.75" customHeight="1">
      <c r="A24" s="441">
        <v>90</v>
      </c>
      <c r="B24" s="405"/>
      <c r="C24" s="406" t="s">
        <v>162</v>
      </c>
      <c r="D24" s="389" t="s">
        <v>17</v>
      </c>
      <c r="F24" s="456">
        <v>-5354220.87</v>
      </c>
      <c r="G24" s="424"/>
      <c r="H24" s="456">
        <f>J24-F24</f>
        <v>4994321.5999999996</v>
      </c>
      <c r="I24" s="393"/>
      <c r="J24" s="456">
        <v>-359899.27</v>
      </c>
    </row>
    <row r="25" spans="1:10" s="389" customFormat="1" ht="18.75" hidden="1" customHeight="1">
      <c r="A25" s="441">
        <v>91</v>
      </c>
      <c r="B25" s="405"/>
      <c r="C25" s="406" t="s">
        <v>163</v>
      </c>
      <c r="D25" s="389" t="s">
        <v>45</v>
      </c>
      <c r="F25" s="449">
        <v>0</v>
      </c>
      <c r="G25" s="424"/>
      <c r="H25" s="449">
        <f>J25-F25</f>
        <v>0</v>
      </c>
      <c r="I25" s="393"/>
      <c r="J25" s="449">
        <v>0</v>
      </c>
    </row>
    <row r="26" spans="1:10" s="389" customFormat="1" ht="18.75" hidden="1" customHeight="1">
      <c r="A26" s="441">
        <v>92</v>
      </c>
      <c r="B26" s="405"/>
      <c r="C26" s="406" t="s">
        <v>164</v>
      </c>
      <c r="D26" s="389" t="s">
        <v>46</v>
      </c>
      <c r="F26" s="449">
        <v>0</v>
      </c>
      <c r="G26" s="424"/>
      <c r="H26" s="449">
        <f>J26-F26</f>
        <v>0</v>
      </c>
      <c r="I26" s="393"/>
      <c r="J26" s="449">
        <v>0</v>
      </c>
    </row>
    <row r="27" spans="1:10" s="389" customFormat="1" ht="18.75" hidden="1" customHeight="1">
      <c r="A27" s="441">
        <v>93</v>
      </c>
      <c r="B27" s="405"/>
      <c r="C27" s="406" t="s">
        <v>165</v>
      </c>
      <c r="D27" s="389" t="s">
        <v>47</v>
      </c>
      <c r="F27" s="449">
        <v>0</v>
      </c>
      <c r="G27" s="424"/>
      <c r="H27" s="449">
        <f>J27-F27</f>
        <v>0</v>
      </c>
      <c r="I27" s="393"/>
      <c r="J27" s="449">
        <v>0</v>
      </c>
    </row>
    <row r="28" spans="1:10" s="389" customFormat="1" ht="18.75" hidden="1" customHeight="1">
      <c r="A28" s="441">
        <v>94</v>
      </c>
      <c r="B28" s="405"/>
      <c r="C28" s="406" t="s">
        <v>166</v>
      </c>
      <c r="D28" s="389" t="s">
        <v>48</v>
      </c>
      <c r="F28" s="456">
        <v>0</v>
      </c>
      <c r="G28" s="424"/>
      <c r="H28" s="456">
        <v>0</v>
      </c>
      <c r="I28" s="393"/>
      <c r="J28" s="456">
        <v>0</v>
      </c>
    </row>
    <row r="29" spans="1:10" s="389" customFormat="1" ht="18.75" hidden="1" customHeight="1">
      <c r="A29" s="441">
        <v>95</v>
      </c>
      <c r="B29" s="405"/>
      <c r="C29" s="406" t="s">
        <v>167</v>
      </c>
      <c r="D29" s="389" t="s">
        <v>49</v>
      </c>
      <c r="F29" s="453"/>
      <c r="G29" s="424"/>
      <c r="H29" s="453"/>
      <c r="I29" s="393"/>
      <c r="J29" s="453"/>
    </row>
    <row r="30" spans="1:10" s="429" customFormat="1" ht="18.75" customHeight="1">
      <c r="A30" s="441">
        <v>0</v>
      </c>
      <c r="B30" s="405"/>
      <c r="C30" s="428"/>
      <c r="D30" s="426" t="s">
        <v>67</v>
      </c>
      <c r="E30" s="431"/>
      <c r="F30" s="427">
        <f>SUM(F22:F29)</f>
        <v>115372674.42000002</v>
      </c>
      <c r="G30" s="427"/>
      <c r="H30" s="427">
        <f>J30-F30</f>
        <v>33576664.429999977</v>
      </c>
      <c r="I30" s="427"/>
      <c r="J30" s="427">
        <f>SUM(J22:J29)</f>
        <v>148949338.84999999</v>
      </c>
    </row>
    <row r="31" spans="1:10" s="389" customFormat="1" ht="18.75" customHeight="1">
      <c r="A31" s="441">
        <v>98</v>
      </c>
      <c r="B31" s="405"/>
      <c r="C31" s="406" t="s">
        <v>319</v>
      </c>
      <c r="D31" s="389" t="s">
        <v>50</v>
      </c>
      <c r="F31" s="456">
        <f>-30536538.52-474726.16</f>
        <v>-31011264.68</v>
      </c>
      <c r="G31" s="424"/>
      <c r="H31" s="456">
        <f>J31-F31</f>
        <v>-13588823.600000001</v>
      </c>
      <c r="I31" s="393"/>
      <c r="J31" s="456">
        <v>-44600088.280000001</v>
      </c>
    </row>
    <row r="32" spans="1:10" s="389" customFormat="1" ht="18.75" hidden="1" customHeight="1">
      <c r="A32" s="441">
        <v>99</v>
      </c>
      <c r="B32" s="405"/>
      <c r="C32" s="406" t="s">
        <v>320</v>
      </c>
      <c r="D32" s="389" t="s">
        <v>51</v>
      </c>
      <c r="F32" s="449">
        <v>0</v>
      </c>
      <c r="G32" s="424"/>
      <c r="H32" s="449">
        <f>J32-F32</f>
        <v>0</v>
      </c>
      <c r="I32" s="393"/>
      <c r="J32" s="449">
        <v>0</v>
      </c>
    </row>
    <row r="33" spans="1:10" s="389" customFormat="1" ht="18.75" hidden="1" customHeight="1">
      <c r="A33" s="441">
        <v>100</v>
      </c>
      <c r="B33" s="405"/>
      <c r="C33" s="406" t="s">
        <v>321</v>
      </c>
      <c r="D33" s="389" t="s">
        <v>52</v>
      </c>
      <c r="F33" s="449">
        <v>0</v>
      </c>
      <c r="G33" s="424"/>
      <c r="H33" s="449">
        <f>J33-F33</f>
        <v>0</v>
      </c>
      <c r="I33" s="393"/>
      <c r="J33" s="449">
        <v>0</v>
      </c>
    </row>
    <row r="34" spans="1:10" s="433" customFormat="1" ht="18.75" hidden="1" customHeight="1">
      <c r="A34" s="441">
        <v>0</v>
      </c>
      <c r="B34" s="405"/>
      <c r="C34" s="432"/>
      <c r="D34" s="433" t="s">
        <v>53</v>
      </c>
      <c r="E34" s="434"/>
      <c r="F34" s="460">
        <f>SUM(F31:F33)</f>
        <v>-31011264.68</v>
      </c>
      <c r="G34" s="435"/>
      <c r="H34" s="460">
        <f>SUM(H31:H33)</f>
        <v>-13588823.600000001</v>
      </c>
      <c r="I34" s="435"/>
      <c r="J34" s="460">
        <f>SUM(J31:J33)</f>
        <v>-44600088.280000001</v>
      </c>
    </row>
    <row r="35" spans="1:10" s="426" customFormat="1" ht="18.75" customHeight="1">
      <c r="A35" s="441">
        <v>0</v>
      </c>
      <c r="B35" s="405"/>
      <c r="C35" s="425"/>
      <c r="D35" s="426" t="s">
        <v>28</v>
      </c>
      <c r="F35" s="427">
        <f>F30+F34</f>
        <v>84361409.74000001</v>
      </c>
      <c r="G35" s="427"/>
      <c r="H35" s="427">
        <f>H30+H34</f>
        <v>19987840.829999976</v>
      </c>
      <c r="I35" s="427"/>
      <c r="J35" s="427">
        <f>J30+J34</f>
        <v>104349250.56999999</v>
      </c>
    </row>
    <row r="36" spans="1:10" s="389" customFormat="1" ht="24" customHeight="1">
      <c r="A36" s="441">
        <v>105</v>
      </c>
      <c r="B36" s="405"/>
      <c r="C36" s="406" t="s">
        <v>322</v>
      </c>
      <c r="D36" s="389" t="s">
        <v>323</v>
      </c>
      <c r="F36" s="456">
        <v>19788595.16</v>
      </c>
      <c r="G36" s="424"/>
      <c r="H36" s="456">
        <f>J36-F36</f>
        <v>-19788595.16</v>
      </c>
      <c r="I36" s="393"/>
      <c r="J36" s="456">
        <v>0</v>
      </c>
    </row>
    <row r="37" spans="1:10" s="389" customFormat="1" ht="18.75" hidden="1" customHeight="1">
      <c r="A37" s="441">
        <v>0</v>
      </c>
      <c r="B37" s="405"/>
      <c r="C37" s="406"/>
      <c r="D37" s="426" t="s">
        <v>32</v>
      </c>
      <c r="F37" s="427"/>
      <c r="G37" s="427"/>
      <c r="H37" s="427"/>
      <c r="I37" s="427"/>
      <c r="J37" s="427"/>
    </row>
    <row r="38" spans="1:10" s="389" customFormat="1" ht="18.75" hidden="1" customHeight="1">
      <c r="A38" s="441">
        <v>108</v>
      </c>
      <c r="B38" s="405"/>
      <c r="C38" s="406" t="s">
        <v>324</v>
      </c>
      <c r="D38" s="389" t="s">
        <v>12</v>
      </c>
      <c r="F38" s="453"/>
      <c r="G38" s="424"/>
      <c r="H38" s="453"/>
      <c r="I38" s="393"/>
      <c r="J38" s="453"/>
    </row>
    <row r="39" spans="1:10" s="389" customFormat="1" ht="18.75" hidden="1" customHeight="1">
      <c r="A39" s="387"/>
      <c r="B39" s="406"/>
      <c r="C39" s="406"/>
      <c r="F39" s="393"/>
      <c r="G39" s="393"/>
      <c r="H39" s="393"/>
      <c r="I39" s="393"/>
      <c r="J39" s="393"/>
    </row>
    <row r="40" spans="1:10" s="429" customFormat="1" ht="24.75" customHeight="1" thickBot="1">
      <c r="A40" s="442"/>
      <c r="B40" s="428"/>
      <c r="C40" s="428"/>
      <c r="D40" s="426" t="s">
        <v>358</v>
      </c>
      <c r="E40" s="433"/>
      <c r="F40" s="471">
        <f>SUM(F35:F39)</f>
        <v>104150004.90000001</v>
      </c>
      <c r="G40" s="427"/>
      <c r="H40" s="471">
        <f>J40-F40</f>
        <v>199245.66999998689</v>
      </c>
      <c r="I40" s="427"/>
      <c r="J40" s="471">
        <f>SUM(J35:J39)</f>
        <v>104349250.56999999</v>
      </c>
    </row>
    <row r="41" spans="1:10" s="389" customFormat="1">
      <c r="A41" s="387"/>
      <c r="B41" s="406"/>
      <c r="C41" s="406"/>
      <c r="F41" s="394"/>
      <c r="G41" s="393"/>
      <c r="H41" s="394"/>
      <c r="I41" s="393"/>
      <c r="J41" s="394"/>
    </row>
    <row r="42" spans="1:10">
      <c r="B42" s="436"/>
      <c r="C42" s="436"/>
      <c r="F42" s="437"/>
      <c r="H42" s="437"/>
      <c r="J42" s="437"/>
    </row>
    <row r="43" spans="1:10" ht="15.75" hidden="1">
      <c r="B43" s="436"/>
      <c r="C43" s="436"/>
      <c r="D43" s="438" t="s">
        <v>22</v>
      </c>
      <c r="F43" s="439">
        <f>+F22-F19-F15-F11</f>
        <v>120726895.29000002</v>
      </c>
      <c r="G43" s="440">
        <f>+G22-G19-G15-G11</f>
        <v>0</v>
      </c>
      <c r="H43" s="439">
        <f>+H22-H19-H15-H11</f>
        <v>28582342.830000013</v>
      </c>
      <c r="J43" s="439">
        <f>+J22-J19-J15-J11</f>
        <v>149309238.12</v>
      </c>
    </row>
    <row r="44" spans="1:10">
      <c r="B44" s="436"/>
      <c r="C44" s="436"/>
    </row>
  </sheetData>
  <mergeCells count="2">
    <mergeCell ref="D4:I4"/>
    <mergeCell ref="D3:I3"/>
  </mergeCells>
  <phoneticPr fontId="1" type="noConversion"/>
  <conditionalFormatting sqref="F6 H6 J6">
    <cfRule type="expression" dxfId="0" priority="1" stopIfTrue="1">
      <formula>F29&lt;&gt;F65</formula>
    </cfRule>
  </conditionalFormatting>
  <dataValidations count="1">
    <dataValidation allowBlank="1" showInputMessage="1" showErrorMessage="1" promptTitle="Προσοχή στην επιλογή προσήμου" prompt="Τις δαπάνες να τις καταχωρείτε με αρνητικό πρόσημο_x000a__x000a_Please input with the minus sign (-) the amounts concerning expenses" sqref="G36 J29 I24 I10:I11 J19:J21 I26 I31:I33 I38:J38 G10:G11 G26 G24 F19:F21 F29 G31:G33 F38:G38 G14:G21 G28:G29 I14:I21 I28:I29 I36"/>
  </dataValidations>
  <printOptions horizontalCentered="1"/>
  <pageMargins left="0" right="0" top="0.75" bottom="0.62992125984252001" header="0" footer="0"/>
  <pageSetup paperSize="9" scale="63" orientation="portrait" horizontalDpi="300" verticalDpi="300" r:id="rId1"/>
  <headerFooter alignWithMargins="0">
    <oddFooter>&amp;L&amp;"Times New Roman Greek,Italic"&amp;8Draft for discussion purposes only&amp;R51</oddFooter>
  </headerFooter>
  <ignoredErrors>
    <ignoredError sqref="H12" formula="1"/>
  </ignoredErrors>
</worksheet>
</file>

<file path=xl/worksheets/sheet15.xml><?xml version="1.0" encoding="utf-8"?>
<worksheet xmlns="http://schemas.openxmlformats.org/spreadsheetml/2006/main" xmlns:r="http://schemas.openxmlformats.org/officeDocument/2006/relationships">
  <sheetPr>
    <pageSetUpPr fitToPage="1"/>
  </sheetPr>
  <dimension ref="A2:H110"/>
  <sheetViews>
    <sheetView topLeftCell="A16" zoomScaleNormal="100" zoomScaleSheetLayoutView="75" workbookViewId="0">
      <selection activeCell="G37" sqref="G37"/>
    </sheetView>
  </sheetViews>
  <sheetFormatPr defaultColWidth="10.6640625" defaultRowHeight="12.75"/>
  <cols>
    <col min="1" max="1" width="9.33203125" style="218" customWidth="1"/>
    <col min="2" max="2" width="53.33203125" style="220" customWidth="1"/>
    <col min="3" max="3" width="10.6640625" style="220" customWidth="1"/>
    <col min="4" max="7" width="19.5" style="218" customWidth="1"/>
    <col min="8" max="8" width="4.83203125" style="218" customWidth="1"/>
    <col min="9" max="16384" width="10.6640625" style="218"/>
  </cols>
  <sheetData>
    <row r="2" spans="1:7" ht="18.75">
      <c r="A2" s="232">
        <v>31</v>
      </c>
      <c r="B2" s="652" t="s">
        <v>372</v>
      </c>
      <c r="C2" s="653"/>
      <c r="D2" s="653"/>
      <c r="E2" s="653"/>
    </row>
    <row r="3" spans="1:7" ht="15.75">
      <c r="B3" s="312" t="s">
        <v>54</v>
      </c>
    </row>
    <row r="4" spans="1:7" ht="39.75" customHeight="1">
      <c r="B4" s="217" t="s">
        <v>60</v>
      </c>
      <c r="C4" s="217"/>
    </row>
    <row r="6" spans="1:7" ht="40.5" customHeight="1" thickBot="1">
      <c r="B6" s="654" t="s">
        <v>373</v>
      </c>
      <c r="C6" s="655"/>
    </row>
    <row r="7" spans="1:7" ht="26.25" thickBot="1">
      <c r="C7" s="219"/>
      <c r="D7" s="221" t="s">
        <v>196</v>
      </c>
      <c r="E7" s="221" t="s">
        <v>374</v>
      </c>
      <c r="F7" s="222" t="s">
        <v>375</v>
      </c>
      <c r="G7" s="221" t="s">
        <v>269</v>
      </c>
    </row>
    <row r="8" spans="1:7">
      <c r="C8" s="219"/>
      <c r="D8" s="223"/>
      <c r="E8" s="223"/>
      <c r="F8" s="224"/>
      <c r="G8" s="223"/>
    </row>
    <row r="9" spans="1:7" ht="13.5">
      <c r="B9" s="225" t="s">
        <v>376</v>
      </c>
      <c r="C9" s="219"/>
      <c r="D9" s="226">
        <v>0.99990000000000001</v>
      </c>
      <c r="E9" s="226">
        <v>0.72250000000000003</v>
      </c>
      <c r="F9" s="227">
        <v>0.5</v>
      </c>
      <c r="G9" s="223"/>
    </row>
    <row r="10" spans="1:7" ht="13.5">
      <c r="B10" s="225" t="s">
        <v>377</v>
      </c>
      <c r="C10" s="219"/>
      <c r="D10" s="226"/>
      <c r="E10" s="226"/>
      <c r="F10" s="227"/>
      <c r="G10" s="223"/>
    </row>
    <row r="11" spans="1:7">
      <c r="D11" s="228" t="s">
        <v>378</v>
      </c>
      <c r="E11" s="228" t="s">
        <v>378</v>
      </c>
      <c r="F11" s="228" t="s">
        <v>378</v>
      </c>
      <c r="G11" s="228" t="s">
        <v>378</v>
      </c>
    </row>
    <row r="12" spans="1:7">
      <c r="B12" s="219" t="s">
        <v>168</v>
      </c>
      <c r="D12" s="229"/>
      <c r="E12" s="229"/>
      <c r="F12" s="229"/>
      <c r="G12" s="229"/>
    </row>
    <row r="13" spans="1:7">
      <c r="D13" s="229"/>
      <c r="E13" s="229"/>
      <c r="F13" s="229"/>
      <c r="G13" s="229"/>
    </row>
    <row r="14" spans="1:7">
      <c r="B14" s="313" t="s">
        <v>265</v>
      </c>
      <c r="D14" s="252">
        <v>122608.8</v>
      </c>
      <c r="E14" s="252">
        <v>24.99</v>
      </c>
      <c r="F14" s="252">
        <v>1428632.57</v>
      </c>
      <c r="G14" s="252">
        <f>SUM(D14:F14)</f>
        <v>1551266.36</v>
      </c>
    </row>
    <row r="15" spans="1:7">
      <c r="B15" s="313" t="s">
        <v>379</v>
      </c>
      <c r="D15" s="252">
        <v>81437.38</v>
      </c>
      <c r="E15" s="252">
        <v>1074717.21</v>
      </c>
      <c r="F15" s="252">
        <v>6034170.7999999998</v>
      </c>
      <c r="G15" s="252">
        <f>SUM(D15:F15)</f>
        <v>7190325.3899999997</v>
      </c>
    </row>
    <row r="16" spans="1:7">
      <c r="B16" s="313" t="s">
        <v>83</v>
      </c>
      <c r="D16" s="252">
        <v>82145.88</v>
      </c>
      <c r="E16" s="252">
        <v>13446.94</v>
      </c>
      <c r="F16" s="252">
        <v>0</v>
      </c>
      <c r="G16" s="252">
        <f>SUM(D16:F16)</f>
        <v>95592.82</v>
      </c>
    </row>
    <row r="17" spans="2:7">
      <c r="D17" s="252"/>
      <c r="E17" s="252"/>
      <c r="F17" s="252"/>
      <c r="G17" s="252"/>
    </row>
    <row r="18" spans="2:7" ht="27" customHeight="1">
      <c r="B18" s="219" t="s">
        <v>269</v>
      </c>
      <c r="D18" s="253">
        <f>SUM(D14:D16)</f>
        <v>286192.06</v>
      </c>
      <c r="E18" s="253">
        <f>SUM(E14:E16)</f>
        <v>1088189.1399999999</v>
      </c>
      <c r="F18" s="253">
        <f>SUM(F14:F16)</f>
        <v>7462803.3700000001</v>
      </c>
      <c r="G18" s="253">
        <f>SUM(G14:G16)</f>
        <v>8837184.5700000003</v>
      </c>
    </row>
    <row r="19" spans="2:7">
      <c r="D19" s="252"/>
      <c r="E19" s="252"/>
      <c r="F19" s="252"/>
      <c r="G19" s="252"/>
    </row>
    <row r="20" spans="2:7">
      <c r="B20" s="219" t="s">
        <v>115</v>
      </c>
      <c r="D20" s="252"/>
      <c r="E20" s="252"/>
      <c r="F20" s="252"/>
      <c r="G20" s="252"/>
    </row>
    <row r="21" spans="2:7">
      <c r="D21" s="252"/>
      <c r="E21" s="252"/>
      <c r="F21" s="252"/>
      <c r="G21" s="252"/>
    </row>
    <row r="22" spans="2:7">
      <c r="B22" s="313" t="s">
        <v>380</v>
      </c>
      <c r="D22" s="252">
        <v>22772.9</v>
      </c>
      <c r="E22" s="252">
        <v>163141.68</v>
      </c>
      <c r="F22" s="252">
        <v>2776440.16</v>
      </c>
      <c r="G22" s="252">
        <f>SUM(D22:F22)</f>
        <v>2962354.74</v>
      </c>
    </row>
    <row r="23" spans="2:7">
      <c r="B23" s="313" t="s">
        <v>381</v>
      </c>
      <c r="D23" s="252">
        <v>44184.18</v>
      </c>
      <c r="E23" s="252">
        <v>115904.89</v>
      </c>
      <c r="F23" s="252">
        <v>0</v>
      </c>
      <c r="G23" s="252">
        <f>SUM(D23:F23)</f>
        <v>160089.07</v>
      </c>
    </row>
    <row r="24" spans="2:7">
      <c r="B24" s="313" t="s">
        <v>382</v>
      </c>
      <c r="D24" s="252">
        <v>0</v>
      </c>
      <c r="E24" s="252">
        <v>0</v>
      </c>
      <c r="F24" s="252">
        <v>1610637.69</v>
      </c>
      <c r="G24" s="252">
        <f>SUM(D24:F24)</f>
        <v>1610637.69</v>
      </c>
    </row>
    <row r="25" spans="2:7">
      <c r="B25" s="313" t="s">
        <v>62</v>
      </c>
      <c r="D25" s="252">
        <v>0</v>
      </c>
      <c r="E25" s="252">
        <v>238923.3</v>
      </c>
      <c r="F25" s="252">
        <v>1547360.26</v>
      </c>
      <c r="G25" s="252">
        <f>SUM(D25:F25)</f>
        <v>1786283.56</v>
      </c>
    </row>
    <row r="26" spans="2:7">
      <c r="D26" s="252"/>
      <c r="E26" s="252"/>
      <c r="F26" s="252"/>
      <c r="G26" s="252"/>
    </row>
    <row r="27" spans="2:7" ht="27" customHeight="1">
      <c r="B27" s="219" t="s">
        <v>269</v>
      </c>
      <c r="D27" s="253">
        <f>SUM(D22:D25)</f>
        <v>66957.08</v>
      </c>
      <c r="E27" s="253">
        <f>SUM(E22:E25)</f>
        <v>517969.87</v>
      </c>
      <c r="F27" s="253">
        <f>SUM(F22:F25)</f>
        <v>5934438.1099999994</v>
      </c>
      <c r="G27" s="253">
        <f>SUM(G22:G25)</f>
        <v>6519365.0600000005</v>
      </c>
    </row>
    <row r="28" spans="2:7" ht="27" customHeight="1" thickBot="1">
      <c r="B28" s="219" t="s">
        <v>383</v>
      </c>
      <c r="D28" s="255">
        <f>D18-D27</f>
        <v>219234.97999999998</v>
      </c>
      <c r="E28" s="255">
        <f>E18-E27</f>
        <v>570219.2699999999</v>
      </c>
      <c r="F28" s="255">
        <f>F18-F27</f>
        <v>1528365.2600000007</v>
      </c>
      <c r="G28" s="255">
        <f>G18-G27</f>
        <v>2317819.5099999998</v>
      </c>
    </row>
    <row r="29" spans="2:7">
      <c r="D29" s="252"/>
      <c r="E29" s="252"/>
      <c r="F29" s="252"/>
      <c r="G29" s="252"/>
    </row>
    <row r="30" spans="2:7" ht="27" customHeight="1" thickBot="1">
      <c r="B30" s="219" t="s">
        <v>384</v>
      </c>
      <c r="D30" s="252"/>
      <c r="E30" s="252"/>
      <c r="F30" s="252"/>
      <c r="G30" s="251">
        <f>(494302.57+G16)</f>
        <v>589895.39</v>
      </c>
    </row>
    <row r="31" spans="2:7" ht="27" customHeight="1" thickBot="1">
      <c r="B31" s="219" t="s">
        <v>385</v>
      </c>
      <c r="D31" s="252"/>
      <c r="E31" s="252"/>
      <c r="F31" s="254"/>
      <c r="G31" s="251">
        <f>G30-G28</f>
        <v>-1727924.1199999996</v>
      </c>
    </row>
    <row r="32" spans="2:7">
      <c r="D32" s="252"/>
      <c r="E32" s="252"/>
      <c r="F32" s="254"/>
      <c r="G32" s="252"/>
    </row>
    <row r="33" spans="2:8">
      <c r="B33" s="219" t="s">
        <v>384</v>
      </c>
      <c r="D33" s="252"/>
      <c r="E33" s="252"/>
      <c r="F33" s="254"/>
      <c r="G33" s="252">
        <f>G30</f>
        <v>589895.39</v>
      </c>
    </row>
    <row r="34" spans="2:8" ht="13.5" thickBot="1">
      <c r="B34" s="219" t="s">
        <v>386</v>
      </c>
      <c r="D34" s="252"/>
      <c r="E34" s="252"/>
      <c r="F34" s="254"/>
      <c r="G34" s="251">
        <f>G16</f>
        <v>95592.82</v>
      </c>
    </row>
    <row r="35" spans="2:8" ht="27" customHeight="1" thickBot="1">
      <c r="B35" s="219" t="s">
        <v>387</v>
      </c>
      <c r="D35" s="252"/>
      <c r="E35" s="252"/>
      <c r="F35" s="254"/>
      <c r="G35" s="256">
        <f>G33-G34</f>
        <v>494302.57</v>
      </c>
    </row>
    <row r="36" spans="2:8">
      <c r="D36" s="252"/>
      <c r="E36" s="252"/>
      <c r="F36" s="252"/>
      <c r="G36" s="252"/>
    </row>
    <row r="37" spans="2:8">
      <c r="D37" s="229"/>
      <c r="E37" s="229"/>
      <c r="F37" s="229"/>
      <c r="G37" s="229"/>
    </row>
    <row r="38" spans="2:8">
      <c r="B38" s="217" t="s">
        <v>61</v>
      </c>
      <c r="D38" s="229"/>
      <c r="E38" s="229"/>
      <c r="F38" s="229"/>
      <c r="G38" s="229"/>
    </row>
    <row r="39" spans="2:8">
      <c r="D39" s="229"/>
      <c r="E39" s="229"/>
      <c r="F39" s="229"/>
      <c r="G39" s="229"/>
    </row>
    <row r="40" spans="2:8" ht="34.5" customHeight="1" thickBot="1">
      <c r="B40" s="654" t="s">
        <v>388</v>
      </c>
      <c r="C40" s="655"/>
      <c r="D40" s="229"/>
      <c r="E40" s="229">
        <v>50</v>
      </c>
      <c r="F40" s="229"/>
      <c r="G40" s="229"/>
    </row>
    <row r="41" spans="2:8" ht="26.25" thickBot="1">
      <c r="E41" s="230" t="s">
        <v>389</v>
      </c>
      <c r="F41" s="222"/>
      <c r="G41" s="221" t="s">
        <v>269</v>
      </c>
    </row>
    <row r="42" spans="2:8">
      <c r="D42" s="229"/>
      <c r="E42" s="229"/>
      <c r="F42" s="229"/>
      <c r="G42" s="229"/>
    </row>
    <row r="43" spans="2:8" ht="13.5">
      <c r="B43" s="225" t="s">
        <v>390</v>
      </c>
      <c r="E43" s="462">
        <v>4.2796000000000001E-2</v>
      </c>
      <c r="F43" s="231">
        <v>1</v>
      </c>
      <c r="G43" s="229"/>
    </row>
    <row r="44" spans="2:8">
      <c r="D44" s="229"/>
      <c r="E44" s="228" t="s">
        <v>378</v>
      </c>
      <c r="F44" s="228" t="s">
        <v>378</v>
      </c>
      <c r="G44" s="228" t="s">
        <v>378</v>
      </c>
      <c r="H44" s="228"/>
    </row>
    <row r="45" spans="2:8">
      <c r="B45" s="219" t="s">
        <v>168</v>
      </c>
      <c r="D45" s="229"/>
      <c r="E45" s="229"/>
      <c r="F45" s="229"/>
      <c r="G45" s="229"/>
    </row>
    <row r="46" spans="2:8">
      <c r="D46" s="229"/>
      <c r="E46" s="229"/>
      <c r="F46" s="229"/>
      <c r="G46" s="229"/>
    </row>
    <row r="47" spans="2:8">
      <c r="B47" s="313" t="s">
        <v>265</v>
      </c>
      <c r="C47" s="313"/>
      <c r="D47" s="314"/>
      <c r="E47" s="315">
        <v>24989065</v>
      </c>
      <c r="F47" s="315">
        <v>29788138.550000001</v>
      </c>
      <c r="G47" s="315">
        <f>E47+F47</f>
        <v>54777203.549999997</v>
      </c>
    </row>
    <row r="48" spans="2:8">
      <c r="B48" s="313" t="s">
        <v>391</v>
      </c>
      <c r="C48" s="313"/>
      <c r="D48" s="314"/>
      <c r="E48" s="315">
        <v>2700016</v>
      </c>
      <c r="F48" s="315">
        <v>1334666.56</v>
      </c>
      <c r="G48" s="315">
        <f>E48+F48</f>
        <v>4034682.56</v>
      </c>
    </row>
    <row r="49" spans="2:7">
      <c r="B49" s="313" t="s">
        <v>379</v>
      </c>
      <c r="C49" s="313"/>
      <c r="D49" s="314"/>
      <c r="E49" s="315">
        <f>2301032.79-312131.15</f>
        <v>1988901.6400000001</v>
      </c>
      <c r="F49" s="315">
        <v>3075621.05</v>
      </c>
      <c r="G49" s="315">
        <f>E49+F49</f>
        <v>5064522.6899999995</v>
      </c>
    </row>
    <row r="50" spans="2:7">
      <c r="B50" s="313" t="s">
        <v>392</v>
      </c>
      <c r="C50" s="313"/>
      <c r="D50" s="314"/>
      <c r="E50" s="315">
        <v>312131.15000000002</v>
      </c>
      <c r="F50" s="315">
        <v>0</v>
      </c>
      <c r="G50" s="315">
        <f>E50+F50</f>
        <v>312131.15000000002</v>
      </c>
    </row>
    <row r="51" spans="2:7">
      <c r="B51" s="313" t="s">
        <v>83</v>
      </c>
      <c r="C51" s="313"/>
      <c r="D51" s="314"/>
      <c r="E51" s="315">
        <v>5964868.8499999996</v>
      </c>
      <c r="F51" s="315">
        <v>0</v>
      </c>
      <c r="G51" s="315">
        <f>E51+F51</f>
        <v>5964868.8499999996</v>
      </c>
    </row>
    <row r="52" spans="2:7">
      <c r="D52" s="229"/>
      <c r="E52" s="252"/>
      <c r="F52" s="252"/>
      <c r="G52" s="252"/>
    </row>
    <row r="53" spans="2:7">
      <c r="B53" s="219" t="s">
        <v>269</v>
      </c>
      <c r="D53" s="229"/>
      <c r="E53" s="253">
        <f>SUM(E47:E51)</f>
        <v>35954982.640000001</v>
      </c>
      <c r="F53" s="253">
        <f>SUM(F47:F51)</f>
        <v>34198426.159999996</v>
      </c>
      <c r="G53" s="253">
        <f>SUM(G47:G51)</f>
        <v>70153408.799999997</v>
      </c>
    </row>
    <row r="54" spans="2:7">
      <c r="D54" s="229"/>
      <c r="E54" s="252"/>
      <c r="F54" s="252"/>
      <c r="G54" s="252"/>
    </row>
    <row r="55" spans="2:7">
      <c r="B55" s="219" t="s">
        <v>115</v>
      </c>
      <c r="D55" s="229"/>
      <c r="E55" s="252"/>
      <c r="F55" s="252"/>
      <c r="G55" s="252"/>
    </row>
    <row r="56" spans="2:7">
      <c r="D56" s="229"/>
      <c r="E56" s="252"/>
      <c r="F56" s="252"/>
      <c r="G56" s="252"/>
    </row>
    <row r="57" spans="2:7">
      <c r="B57" s="313" t="s">
        <v>393</v>
      </c>
      <c r="C57" s="313"/>
      <c r="D57" s="314"/>
      <c r="E57" s="315">
        <v>0</v>
      </c>
      <c r="F57" s="315">
        <v>6994958.6699999999</v>
      </c>
      <c r="G57" s="315">
        <f>E57+F57</f>
        <v>6994958.6699999999</v>
      </c>
    </row>
    <row r="58" spans="2:7">
      <c r="B58" s="313" t="s">
        <v>380</v>
      </c>
      <c r="C58" s="313"/>
      <c r="D58" s="314"/>
      <c r="E58" s="315">
        <v>2639491.7999999998</v>
      </c>
      <c r="F58" s="315">
        <v>2651017.7000000002</v>
      </c>
      <c r="G58" s="315">
        <f>E58+F58</f>
        <v>5290509.5</v>
      </c>
    </row>
    <row r="59" spans="2:7">
      <c r="B59" s="313" t="s">
        <v>62</v>
      </c>
      <c r="C59" s="313"/>
      <c r="D59" s="314"/>
      <c r="E59" s="315">
        <v>9994800</v>
      </c>
      <c r="F59" s="315">
        <v>0</v>
      </c>
      <c r="G59" s="315">
        <f>E59+F59</f>
        <v>9994800</v>
      </c>
    </row>
    <row r="60" spans="2:7">
      <c r="D60" s="229"/>
      <c r="E60" s="252"/>
      <c r="F60" s="252"/>
      <c r="G60" s="252"/>
    </row>
    <row r="61" spans="2:7">
      <c r="B61" s="219" t="s">
        <v>269</v>
      </c>
      <c r="D61" s="229"/>
      <c r="E61" s="253">
        <f>SUM(E57:E60)</f>
        <v>12634291.800000001</v>
      </c>
      <c r="F61" s="253">
        <f>SUM(F57:F59)</f>
        <v>9645976.370000001</v>
      </c>
      <c r="G61" s="253">
        <f>SUM(G57:G59)</f>
        <v>22280268.170000002</v>
      </c>
    </row>
    <row r="62" spans="2:7">
      <c r="B62" s="220" t="s">
        <v>394</v>
      </c>
      <c r="D62" s="229"/>
      <c r="E62" s="254">
        <f>E53-E61</f>
        <v>23320690.84</v>
      </c>
      <c r="F62" s="254">
        <f>F53-F61</f>
        <v>24552449.789999995</v>
      </c>
      <c r="G62" s="254">
        <f>G53-G61</f>
        <v>47873140.629999995</v>
      </c>
    </row>
    <row r="63" spans="2:7">
      <c r="B63" s="220" t="s">
        <v>169</v>
      </c>
      <c r="D63" s="229"/>
      <c r="E63" s="252">
        <f>E64-E62</f>
        <v>17784404.16</v>
      </c>
      <c r="F63" s="252">
        <v>7488560.8800000027</v>
      </c>
      <c r="G63" s="254">
        <f>G64-G62</f>
        <v>25272965.040000007</v>
      </c>
    </row>
    <row r="64" spans="2:7" ht="13.5" thickBot="1">
      <c r="B64" s="219" t="s">
        <v>395</v>
      </c>
      <c r="D64" s="229"/>
      <c r="E64" s="255">
        <f>E65</f>
        <v>41105095</v>
      </c>
      <c r="F64" s="255">
        <f>SUM(F62:F63)</f>
        <v>32041010.669999998</v>
      </c>
      <c r="G64" s="255">
        <f>E64+F64</f>
        <v>73146105.670000002</v>
      </c>
    </row>
    <row r="65" spans="2:7" ht="13.5" thickBot="1">
      <c r="B65" s="219" t="s">
        <v>105</v>
      </c>
      <c r="D65" s="229"/>
      <c r="E65" s="256">
        <v>41105095</v>
      </c>
      <c r="F65" s="256">
        <f>F68</f>
        <v>33908080.009999998</v>
      </c>
      <c r="G65" s="256">
        <f>E65+F65</f>
        <v>75013175.00999999</v>
      </c>
    </row>
    <row r="66" spans="2:7">
      <c r="D66" s="229"/>
      <c r="E66" s="229"/>
      <c r="F66" s="229"/>
      <c r="G66" s="229"/>
    </row>
    <row r="67" spans="2:7">
      <c r="B67" s="220" t="s">
        <v>107</v>
      </c>
      <c r="D67" s="229"/>
      <c r="E67" s="229"/>
      <c r="F67" s="229"/>
      <c r="G67" s="229"/>
    </row>
    <row r="68" spans="2:7">
      <c r="B68" s="220" t="s">
        <v>106</v>
      </c>
      <c r="D68" s="229"/>
      <c r="E68" s="257">
        <v>35140131.149999999</v>
      </c>
      <c r="F68" s="257">
        <v>33908080.009999998</v>
      </c>
      <c r="G68" s="257">
        <f>E68+F68</f>
        <v>69048211.159999996</v>
      </c>
    </row>
    <row r="69" spans="2:7">
      <c r="B69" s="220" t="s">
        <v>108</v>
      </c>
      <c r="D69" s="229"/>
      <c r="E69" s="259">
        <f>E65-E68</f>
        <v>5964963.8500000015</v>
      </c>
      <c r="F69" s="259">
        <v>-1867069</v>
      </c>
      <c r="G69" s="259">
        <f>E69+F69</f>
        <v>4097894.8500000015</v>
      </c>
    </row>
    <row r="70" spans="2:7" ht="13.5" thickBot="1">
      <c r="B70" s="219" t="s">
        <v>395</v>
      </c>
      <c r="D70" s="229"/>
      <c r="E70" s="258">
        <f>SUM(E68:E69)</f>
        <v>41105095</v>
      </c>
      <c r="F70" s="258">
        <f>SUM(F68:F69)</f>
        <v>32041011.009999998</v>
      </c>
      <c r="G70" s="258">
        <f>SUM(G68:G69)</f>
        <v>73146106.00999999</v>
      </c>
    </row>
    <row r="71" spans="2:7" ht="27">
      <c r="B71" s="225" t="s">
        <v>364</v>
      </c>
      <c r="D71" s="229"/>
      <c r="E71" s="229"/>
      <c r="F71" s="229"/>
      <c r="G71" s="229"/>
    </row>
    <row r="72" spans="2:7">
      <c r="D72" s="229"/>
      <c r="E72" s="229"/>
      <c r="F72" s="229"/>
      <c r="G72" s="229"/>
    </row>
    <row r="73" spans="2:7">
      <c r="B73" s="220" t="s">
        <v>109</v>
      </c>
      <c r="D73" s="229"/>
      <c r="E73" s="229"/>
      <c r="F73" s="229"/>
      <c r="G73" s="229"/>
    </row>
    <row r="74" spans="2:7">
      <c r="D74" s="229"/>
      <c r="E74" s="229"/>
      <c r="F74" s="229"/>
      <c r="G74" s="229"/>
    </row>
    <row r="75" spans="2:7">
      <c r="D75" s="229"/>
      <c r="E75" s="229"/>
      <c r="F75" s="229"/>
      <c r="G75" s="229"/>
    </row>
    <row r="76" spans="2:7">
      <c r="D76" s="229"/>
      <c r="E76" s="229"/>
      <c r="F76" s="229"/>
      <c r="G76" s="229"/>
    </row>
    <row r="77" spans="2:7">
      <c r="D77" s="229"/>
      <c r="E77" s="229"/>
      <c r="F77" s="229"/>
      <c r="G77" s="229"/>
    </row>
    <row r="78" spans="2:7">
      <c r="D78" s="229"/>
      <c r="E78" s="229"/>
      <c r="F78" s="229"/>
      <c r="G78" s="229"/>
    </row>
    <row r="79" spans="2:7">
      <c r="D79" s="229"/>
      <c r="E79" s="229"/>
      <c r="F79" s="229"/>
      <c r="G79" s="229"/>
    </row>
    <row r="80" spans="2:7">
      <c r="D80" s="229"/>
      <c r="E80" s="229"/>
      <c r="F80" s="229"/>
      <c r="G80" s="229"/>
    </row>
    <row r="81" spans="4:7">
      <c r="D81" s="229"/>
      <c r="E81" s="229"/>
      <c r="F81" s="229"/>
      <c r="G81" s="229"/>
    </row>
    <row r="82" spans="4:7">
      <c r="D82" s="229"/>
      <c r="E82" s="229"/>
      <c r="F82" s="229"/>
      <c r="G82" s="229"/>
    </row>
    <row r="83" spans="4:7">
      <c r="D83" s="229"/>
      <c r="E83" s="229"/>
      <c r="F83" s="229"/>
      <c r="G83" s="229"/>
    </row>
    <row r="84" spans="4:7">
      <c r="D84" s="229"/>
      <c r="E84" s="229"/>
      <c r="F84" s="229"/>
      <c r="G84" s="229"/>
    </row>
    <row r="85" spans="4:7">
      <c r="D85" s="229"/>
      <c r="E85" s="229"/>
      <c r="F85" s="229"/>
      <c r="G85" s="229"/>
    </row>
    <row r="86" spans="4:7">
      <c r="D86" s="229"/>
      <c r="E86" s="229"/>
      <c r="F86" s="229"/>
      <c r="G86" s="229"/>
    </row>
    <row r="87" spans="4:7">
      <c r="D87" s="229"/>
      <c r="E87" s="229"/>
      <c r="F87" s="229"/>
      <c r="G87" s="229"/>
    </row>
    <row r="88" spans="4:7">
      <c r="D88" s="229"/>
      <c r="E88" s="229"/>
      <c r="F88" s="229"/>
      <c r="G88" s="229"/>
    </row>
    <row r="89" spans="4:7">
      <c r="D89" s="229"/>
      <c r="E89" s="229"/>
      <c r="F89" s="229"/>
      <c r="G89" s="229"/>
    </row>
    <row r="90" spans="4:7">
      <c r="D90" s="229"/>
      <c r="E90" s="229"/>
      <c r="F90" s="229"/>
      <c r="G90" s="229"/>
    </row>
    <row r="91" spans="4:7">
      <c r="D91" s="229"/>
      <c r="E91" s="229"/>
      <c r="F91" s="229"/>
      <c r="G91" s="229"/>
    </row>
    <row r="92" spans="4:7">
      <c r="D92" s="229"/>
      <c r="E92" s="229"/>
      <c r="F92" s="229"/>
      <c r="G92" s="229"/>
    </row>
    <row r="93" spans="4:7">
      <c r="D93" s="229"/>
      <c r="E93" s="229"/>
      <c r="F93" s="229"/>
      <c r="G93" s="229"/>
    </row>
    <row r="94" spans="4:7">
      <c r="D94" s="229"/>
      <c r="E94" s="229"/>
      <c r="F94" s="229"/>
      <c r="G94" s="229"/>
    </row>
    <row r="95" spans="4:7">
      <c r="D95" s="229"/>
      <c r="E95" s="229"/>
      <c r="F95" s="229"/>
      <c r="G95" s="229"/>
    </row>
    <row r="96" spans="4:7">
      <c r="D96" s="229"/>
      <c r="E96" s="229"/>
      <c r="F96" s="229"/>
      <c r="G96" s="229"/>
    </row>
    <row r="97" spans="4:7">
      <c r="D97" s="229"/>
      <c r="E97" s="229"/>
      <c r="F97" s="229"/>
      <c r="G97" s="229"/>
    </row>
    <row r="98" spans="4:7">
      <c r="D98" s="229"/>
      <c r="E98" s="229"/>
      <c r="F98" s="229"/>
      <c r="G98" s="229"/>
    </row>
    <row r="99" spans="4:7">
      <c r="D99" s="229"/>
      <c r="E99" s="229"/>
      <c r="F99" s="229"/>
      <c r="G99" s="229"/>
    </row>
    <row r="100" spans="4:7">
      <c r="D100" s="229"/>
      <c r="E100" s="229"/>
      <c r="F100" s="229"/>
      <c r="G100" s="229"/>
    </row>
    <row r="101" spans="4:7">
      <c r="D101" s="229"/>
      <c r="E101" s="229"/>
      <c r="F101" s="229"/>
      <c r="G101" s="229"/>
    </row>
    <row r="102" spans="4:7">
      <c r="D102" s="229"/>
      <c r="E102" s="229"/>
      <c r="F102" s="229"/>
      <c r="G102" s="229"/>
    </row>
    <row r="103" spans="4:7">
      <c r="D103" s="229"/>
      <c r="E103" s="229"/>
      <c r="F103" s="229"/>
      <c r="G103" s="229"/>
    </row>
    <row r="104" spans="4:7">
      <c r="D104" s="229"/>
      <c r="E104" s="229"/>
      <c r="F104" s="229"/>
      <c r="G104" s="229"/>
    </row>
    <row r="105" spans="4:7">
      <c r="D105" s="229"/>
      <c r="E105" s="229"/>
      <c r="F105" s="229"/>
      <c r="G105" s="229"/>
    </row>
    <row r="106" spans="4:7">
      <c r="D106" s="229"/>
      <c r="E106" s="229"/>
      <c r="F106" s="229"/>
      <c r="G106" s="229"/>
    </row>
    <row r="107" spans="4:7">
      <c r="D107" s="229"/>
      <c r="E107" s="229"/>
      <c r="F107" s="229"/>
      <c r="G107" s="229"/>
    </row>
    <row r="108" spans="4:7">
      <c r="D108" s="229"/>
      <c r="E108" s="229"/>
      <c r="F108" s="229"/>
      <c r="G108" s="229"/>
    </row>
    <row r="109" spans="4:7">
      <c r="D109" s="229"/>
      <c r="E109" s="229"/>
      <c r="F109" s="229"/>
      <c r="G109" s="229"/>
    </row>
    <row r="110" spans="4:7">
      <c r="D110" s="229"/>
      <c r="E110" s="229"/>
      <c r="F110" s="229"/>
      <c r="G110" s="229"/>
    </row>
  </sheetData>
  <mergeCells count="3">
    <mergeCell ref="B2:E2"/>
    <mergeCell ref="B40:C40"/>
    <mergeCell ref="B6:C6"/>
  </mergeCells>
  <phoneticPr fontId="59" type="noConversion"/>
  <printOptions horizontalCentered="1"/>
  <pageMargins left="0.73619999999999997" right="0" top="0.98419999999999996" bottom="0.16" header="0.433" footer="0"/>
  <pageSetup paperSize="9" scale="64" orientation="portrait" draft="1" r:id="rId1"/>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16.xml><?xml version="1.0" encoding="utf-8"?>
<worksheet xmlns="http://schemas.openxmlformats.org/spreadsheetml/2006/main" xmlns:r="http://schemas.openxmlformats.org/officeDocument/2006/relationships">
  <sheetPr enableFormatConditionsCalculation="0">
    <tabColor indexed="27"/>
    <pageSetUpPr fitToPage="1"/>
  </sheetPr>
  <dimension ref="A1:W57"/>
  <sheetViews>
    <sheetView topLeftCell="A4" zoomScaleNormal="100" workbookViewId="0">
      <selection activeCell="A7" sqref="A7:IV20"/>
    </sheetView>
  </sheetViews>
  <sheetFormatPr defaultColWidth="10.6640625" defaultRowHeight="15"/>
  <cols>
    <col min="1" max="1" width="6.5" style="155" bestFit="1" customWidth="1"/>
    <col min="2" max="2" width="104.33203125" style="155" customWidth="1"/>
    <col min="3" max="3" width="1" style="155" customWidth="1"/>
    <col min="4" max="4" width="14.1640625" style="155" customWidth="1"/>
    <col min="5" max="5" width="0.5" style="137" customWidth="1"/>
    <col min="6" max="6" width="14.1640625" style="155" customWidth="1"/>
    <col min="7" max="7" width="0.6640625" style="137" customWidth="1"/>
    <col min="8" max="8" width="13.83203125" style="155" customWidth="1"/>
    <col min="9" max="9" width="0.6640625" style="137" customWidth="1"/>
    <col min="10" max="10" width="14.5" style="155" customWidth="1"/>
    <col min="11" max="11" width="0.83203125" style="137" customWidth="1"/>
    <col min="12" max="12" width="19.83203125" style="155" customWidth="1"/>
    <col min="13" max="13" width="0.6640625" style="137" customWidth="1"/>
    <col min="14" max="14" width="12.5" style="137" customWidth="1"/>
    <col min="15" max="15" width="0.6640625" style="137" customWidth="1"/>
    <col min="16" max="16" width="12.5" style="155" customWidth="1"/>
    <col min="17" max="17" width="8.83203125" style="155" customWidth="1"/>
    <col min="18" max="23" width="17.83203125" style="155" customWidth="1"/>
    <col min="24" max="16384" width="10.6640625" style="155"/>
  </cols>
  <sheetData>
    <row r="1" spans="1:23">
      <c r="B1" s="159"/>
      <c r="C1" s="159"/>
      <c r="D1" s="77"/>
      <c r="E1" s="77"/>
      <c r="F1" s="77"/>
      <c r="G1" s="77"/>
      <c r="H1" s="77"/>
      <c r="I1" s="77"/>
      <c r="J1" s="77"/>
      <c r="K1" s="77"/>
      <c r="L1" s="77"/>
      <c r="M1" s="77"/>
      <c r="N1" s="77"/>
      <c r="O1" s="77"/>
      <c r="P1" s="77"/>
      <c r="Q1" s="77"/>
      <c r="R1" s="77"/>
      <c r="S1" s="73">
        <v>1000</v>
      </c>
    </row>
    <row r="3" spans="1:23" ht="20.25">
      <c r="A3" s="352"/>
      <c r="B3" s="352" t="s">
        <v>218</v>
      </c>
      <c r="C3" s="109"/>
    </row>
    <row r="4" spans="1:23" ht="25.5">
      <c r="A4" s="163"/>
      <c r="B4" s="475" t="s">
        <v>305</v>
      </c>
      <c r="C4" s="109"/>
    </row>
    <row r="5" spans="1:23" s="114" customFormat="1" ht="63">
      <c r="A5" s="494"/>
      <c r="B5" s="497"/>
      <c r="C5" s="495"/>
      <c r="D5" s="358" t="s">
        <v>340</v>
      </c>
      <c r="E5" s="358"/>
      <c r="F5" s="358" t="s">
        <v>341</v>
      </c>
      <c r="G5" s="358"/>
      <c r="H5" s="358" t="s">
        <v>342</v>
      </c>
      <c r="I5" s="358"/>
      <c r="J5" s="358" t="s">
        <v>343</v>
      </c>
      <c r="K5" s="358"/>
      <c r="L5" s="496" t="s">
        <v>344</v>
      </c>
      <c r="M5" s="358"/>
      <c r="N5" s="358" t="s">
        <v>345</v>
      </c>
      <c r="O5" s="358"/>
      <c r="P5" s="358" t="s">
        <v>244</v>
      </c>
      <c r="Q5" s="149"/>
      <c r="R5" s="149"/>
      <c r="S5" s="149"/>
      <c r="T5" s="149"/>
      <c r="U5" s="149"/>
      <c r="V5" s="149"/>
      <c r="W5" s="149"/>
    </row>
    <row r="6" spans="1:23" s="114" customFormat="1" ht="19.5">
      <c r="A6" s="180"/>
      <c r="B6" s="360"/>
      <c r="C6" s="361"/>
      <c r="D6" s="359"/>
      <c r="E6" s="359"/>
      <c r="F6" s="359"/>
      <c r="G6" s="359"/>
      <c r="H6" s="359"/>
      <c r="I6" s="359"/>
      <c r="J6" s="359"/>
      <c r="K6" s="359"/>
      <c r="L6" s="359"/>
      <c r="M6" s="359"/>
      <c r="N6" s="359"/>
      <c r="O6" s="359"/>
      <c r="P6" s="362"/>
      <c r="Q6" s="149"/>
      <c r="R6" s="149"/>
      <c r="S6" s="149"/>
      <c r="T6" s="149"/>
      <c r="U6" s="149"/>
      <c r="V6" s="149"/>
      <c r="W6" s="149"/>
    </row>
    <row r="7" spans="1:23" s="356" customFormat="1" ht="22.5" customHeight="1">
      <c r="B7" s="483" t="s">
        <v>93</v>
      </c>
      <c r="C7" s="139"/>
      <c r="D7" s="486">
        <v>53202.8027</v>
      </c>
      <c r="E7" s="487"/>
      <c r="F7" s="486">
        <v>3693.058</v>
      </c>
      <c r="G7" s="487"/>
      <c r="H7" s="486">
        <f>117393.304+1</f>
        <v>117394.304</v>
      </c>
      <c r="I7" s="487"/>
      <c r="J7" s="486">
        <v>162942.149</v>
      </c>
      <c r="K7" s="487"/>
      <c r="L7" s="486">
        <v>21262.134750000001</v>
      </c>
      <c r="M7" s="487"/>
      <c r="N7" s="488">
        <v>-56294.578999999998</v>
      </c>
      <c r="O7" s="487"/>
      <c r="P7" s="487">
        <f>SUM(D7:O7)-1</f>
        <v>302198.86945</v>
      </c>
      <c r="Q7" s="99"/>
      <c r="R7" s="99"/>
      <c r="S7" s="99"/>
      <c r="T7" s="99"/>
      <c r="U7" s="99"/>
      <c r="V7" s="99"/>
      <c r="W7" s="99"/>
    </row>
    <row r="8" spans="1:23" s="356" customFormat="1" ht="22.5" customHeight="1">
      <c r="B8" s="348" t="s">
        <v>346</v>
      </c>
      <c r="D8" s="487">
        <v>5678.0540000000001</v>
      </c>
      <c r="E8" s="487"/>
      <c r="F8" s="489">
        <v>0</v>
      </c>
      <c r="G8" s="487"/>
      <c r="H8" s="487">
        <v>28851.44037</v>
      </c>
      <c r="I8" s="487"/>
      <c r="J8" s="487">
        <v>23642.753000000001</v>
      </c>
      <c r="K8" s="487"/>
      <c r="L8" s="487">
        <v>0</v>
      </c>
      <c r="M8" s="487"/>
      <c r="N8" s="487">
        <v>0</v>
      </c>
      <c r="O8" s="487"/>
      <c r="P8" s="487">
        <f>SUM(D8:O8)</f>
        <v>58172.247369999997</v>
      </c>
      <c r="Q8" s="103"/>
      <c r="R8" s="103"/>
      <c r="S8" s="103"/>
      <c r="T8" s="103"/>
      <c r="U8" s="103"/>
      <c r="V8" s="103"/>
      <c r="W8" s="103"/>
    </row>
    <row r="9" spans="1:23" s="356" customFormat="1" ht="22.5" customHeight="1">
      <c r="B9" s="348" t="s">
        <v>94</v>
      </c>
      <c r="D9" s="487">
        <v>0</v>
      </c>
      <c r="E9" s="487"/>
      <c r="F9" s="487">
        <v>0</v>
      </c>
      <c r="G9" s="487"/>
      <c r="H9" s="487">
        <v>0</v>
      </c>
      <c r="I9" s="487"/>
      <c r="J9" s="487">
        <v>0</v>
      </c>
      <c r="K9" s="487"/>
      <c r="L9" s="487">
        <v>0</v>
      </c>
      <c r="M9" s="487"/>
      <c r="N9" s="487">
        <v>-60078.542600000001</v>
      </c>
      <c r="O9" s="487"/>
      <c r="P9" s="487">
        <f>SUM(D9:O9)</f>
        <v>-60078.542600000001</v>
      </c>
      <c r="Q9" s="103"/>
      <c r="R9" s="103"/>
      <c r="S9" s="103"/>
      <c r="T9" s="103"/>
      <c r="U9" s="103"/>
      <c r="V9" s="103"/>
      <c r="W9" s="103"/>
    </row>
    <row r="10" spans="1:23" s="356" customFormat="1" ht="22.5" customHeight="1">
      <c r="B10" s="348" t="s">
        <v>55</v>
      </c>
      <c r="D10" s="487">
        <v>345.78783000000004</v>
      </c>
      <c r="E10" s="487"/>
      <c r="F10" s="487">
        <v>0</v>
      </c>
      <c r="G10" s="487"/>
      <c r="H10" s="487">
        <v>0</v>
      </c>
      <c r="I10" s="487"/>
      <c r="J10" s="487">
        <v>0</v>
      </c>
      <c r="K10" s="487"/>
      <c r="L10" s="487">
        <v>0</v>
      </c>
      <c r="M10" s="487"/>
      <c r="N10" s="487">
        <v>0</v>
      </c>
      <c r="O10" s="487"/>
      <c r="P10" s="487">
        <f>SUM(D10:O10)</f>
        <v>345.78783000000004</v>
      </c>
      <c r="Q10" s="103"/>
      <c r="R10" s="103"/>
      <c r="S10" s="103"/>
      <c r="T10" s="103"/>
      <c r="U10" s="103"/>
      <c r="V10" s="103"/>
      <c r="W10" s="103"/>
    </row>
    <row r="11" spans="1:23" s="356" customFormat="1" ht="22.5" customHeight="1">
      <c r="B11" s="348" t="s">
        <v>95</v>
      </c>
      <c r="D11" s="487">
        <v>0</v>
      </c>
      <c r="E11" s="487"/>
      <c r="F11" s="487">
        <v>0</v>
      </c>
      <c r="G11" s="487"/>
      <c r="H11" s="487">
        <v>0</v>
      </c>
      <c r="I11" s="487"/>
      <c r="J11" s="487">
        <v>0</v>
      </c>
      <c r="K11" s="487"/>
      <c r="L11" s="487">
        <v>17052.218280000001</v>
      </c>
      <c r="M11" s="487"/>
      <c r="N11" s="487">
        <v>0</v>
      </c>
      <c r="O11" s="487"/>
      <c r="P11" s="487">
        <f>SUM(D11:O11)</f>
        <v>17052.218280000001</v>
      </c>
      <c r="Q11" s="103"/>
      <c r="R11" s="103"/>
      <c r="S11" s="103"/>
      <c r="T11" s="103"/>
      <c r="U11" s="103"/>
      <c r="V11" s="103"/>
      <c r="W11" s="103"/>
    </row>
    <row r="12" spans="1:23" s="356" customFormat="1" ht="22.5" customHeight="1">
      <c r="B12" s="348" t="s">
        <v>347</v>
      </c>
      <c r="D12" s="490">
        <v>0</v>
      </c>
      <c r="E12" s="487"/>
      <c r="F12" s="490">
        <v>0</v>
      </c>
      <c r="G12" s="487"/>
      <c r="H12" s="490">
        <v>0</v>
      </c>
      <c r="I12" s="487"/>
      <c r="J12" s="490">
        <v>0</v>
      </c>
      <c r="K12" s="487"/>
      <c r="L12" s="490">
        <v>-5968.2764000000006</v>
      </c>
      <c r="M12" s="487"/>
      <c r="N12" s="490">
        <v>0</v>
      </c>
      <c r="O12" s="487"/>
      <c r="P12" s="490">
        <f>SUM(D12:O12)</f>
        <v>-5968.2764000000006</v>
      </c>
      <c r="Q12" s="103"/>
      <c r="R12" s="103"/>
      <c r="S12" s="103"/>
      <c r="T12" s="103"/>
      <c r="U12" s="103"/>
      <c r="V12" s="103"/>
      <c r="W12" s="103"/>
    </row>
    <row r="13" spans="1:23" s="356" customFormat="1" ht="22.5" customHeight="1">
      <c r="B13" s="483" t="s">
        <v>348</v>
      </c>
      <c r="D13" s="488">
        <f>SUM(D7:D12)</f>
        <v>59226.644530000005</v>
      </c>
      <c r="E13" s="488"/>
      <c r="F13" s="488">
        <f>SUM(F7:F12)</f>
        <v>3693.058</v>
      </c>
      <c r="G13" s="488"/>
      <c r="H13" s="488">
        <f>SUM(H7:H12)-1</f>
        <v>146244.74437</v>
      </c>
      <c r="I13" s="488"/>
      <c r="J13" s="488">
        <f>SUM(J7:J12)</f>
        <v>186584.902</v>
      </c>
      <c r="K13" s="488"/>
      <c r="L13" s="488">
        <f>SUM(L7:L12)</f>
        <v>32346.076629999996</v>
      </c>
      <c r="M13" s="488"/>
      <c r="N13" s="488">
        <f>N9+N7-1</f>
        <v>-116374.1216</v>
      </c>
      <c r="O13" s="488"/>
      <c r="P13" s="488">
        <f>SUM(P7:P12)</f>
        <v>311722.30393000005</v>
      </c>
      <c r="Q13" s="103"/>
      <c r="R13" s="103"/>
      <c r="S13" s="103"/>
      <c r="T13" s="103"/>
      <c r="U13" s="103"/>
      <c r="V13" s="103"/>
      <c r="W13" s="103"/>
    </row>
    <row r="14" spans="1:23" s="464" customFormat="1" ht="22.5" customHeight="1">
      <c r="B14" s="484" t="s">
        <v>396</v>
      </c>
      <c r="D14" s="491">
        <v>0</v>
      </c>
      <c r="E14" s="491"/>
      <c r="F14" s="491">
        <v>0</v>
      </c>
      <c r="G14" s="491"/>
      <c r="H14" s="491">
        <v>27</v>
      </c>
      <c r="I14" s="491"/>
      <c r="J14" s="491">
        <v>-67173</v>
      </c>
      <c r="K14" s="491"/>
      <c r="L14" s="491">
        <v>0</v>
      </c>
      <c r="M14" s="491"/>
      <c r="N14" s="491">
        <v>0</v>
      </c>
      <c r="O14" s="491"/>
      <c r="P14" s="491">
        <v>-67146</v>
      </c>
      <c r="Q14" s="485"/>
      <c r="R14" s="485"/>
      <c r="S14" s="485"/>
      <c r="T14" s="485"/>
      <c r="U14" s="485"/>
      <c r="V14" s="485"/>
      <c r="W14" s="485"/>
    </row>
    <row r="15" spans="1:23" s="356" customFormat="1" ht="22.5" customHeight="1">
      <c r="B15" s="348" t="s">
        <v>94</v>
      </c>
      <c r="C15" s="478"/>
      <c r="D15" s="481"/>
      <c r="E15" s="481"/>
      <c r="F15" s="481"/>
      <c r="G15" s="481"/>
      <c r="H15" s="481"/>
      <c r="I15" s="481"/>
      <c r="J15" s="481"/>
      <c r="K15" s="481"/>
      <c r="L15" s="481"/>
      <c r="M15" s="481"/>
      <c r="N15" s="487">
        <v>-32377.569489999998</v>
      </c>
      <c r="O15" s="481"/>
      <c r="P15" s="487">
        <v>-32377.569489999998</v>
      </c>
      <c r="Q15" s="98"/>
      <c r="R15" s="98"/>
      <c r="S15" s="98"/>
      <c r="T15" s="98"/>
      <c r="U15" s="98"/>
      <c r="V15" s="98"/>
      <c r="W15" s="98"/>
    </row>
    <row r="16" spans="1:23" s="356" customFormat="1" ht="22.5" customHeight="1">
      <c r="B16" s="348" t="s">
        <v>55</v>
      </c>
      <c r="C16" s="208"/>
      <c r="D16" s="487">
        <v>498</v>
      </c>
      <c r="E16" s="487"/>
      <c r="F16" s="487"/>
      <c r="G16" s="487"/>
      <c r="H16" s="487"/>
      <c r="I16" s="487"/>
      <c r="J16" s="487"/>
      <c r="K16" s="487"/>
      <c r="L16" s="487"/>
      <c r="M16" s="487"/>
      <c r="N16" s="487"/>
      <c r="O16" s="487"/>
      <c r="P16" s="487">
        <v>498</v>
      </c>
      <c r="Q16" s="98"/>
      <c r="R16" s="98"/>
      <c r="S16" s="98"/>
      <c r="T16" s="98"/>
      <c r="U16" s="98"/>
      <c r="V16" s="98"/>
      <c r="W16" s="98"/>
    </row>
    <row r="17" spans="2:23" s="356" customFormat="1" ht="22.5" customHeight="1">
      <c r="B17" s="348" t="s">
        <v>95</v>
      </c>
      <c r="C17" s="208"/>
      <c r="D17" s="487">
        <v>0</v>
      </c>
      <c r="E17" s="487"/>
      <c r="F17" s="487">
        <v>0</v>
      </c>
      <c r="G17" s="487"/>
      <c r="H17" s="487"/>
      <c r="I17" s="487"/>
      <c r="J17" s="487"/>
      <c r="K17" s="487"/>
      <c r="L17" s="487">
        <v>3350</v>
      </c>
      <c r="M17" s="487"/>
      <c r="N17" s="487">
        <v>0</v>
      </c>
      <c r="O17" s="487"/>
      <c r="P17" s="481">
        <v>3350</v>
      </c>
      <c r="Q17" s="98"/>
      <c r="R17" s="98"/>
      <c r="S17" s="98"/>
      <c r="T17" s="98"/>
      <c r="U17" s="98"/>
      <c r="V17" s="98"/>
      <c r="W17" s="98"/>
    </row>
    <row r="18" spans="2:23" s="356" customFormat="1" ht="22.5" customHeight="1">
      <c r="B18" s="348" t="s">
        <v>346</v>
      </c>
      <c r="D18" s="487">
        <f>4736.17505+1</f>
        <v>4737.1750499999998</v>
      </c>
      <c r="E18" s="487"/>
      <c r="F18" s="487">
        <v>0</v>
      </c>
      <c r="G18" s="487"/>
      <c r="H18" s="487">
        <f>(18532490.95+1824492.32)/1000</f>
        <v>20356.983270000001</v>
      </c>
      <c r="I18" s="487"/>
      <c r="J18" s="487">
        <v>34484.142140000004</v>
      </c>
      <c r="K18" s="487"/>
      <c r="L18" s="487">
        <v>0</v>
      </c>
      <c r="M18" s="487"/>
      <c r="N18" s="487">
        <v>0</v>
      </c>
      <c r="O18" s="487"/>
      <c r="P18" s="487">
        <f>SUM(D18:N18)</f>
        <v>59578.300460000006</v>
      </c>
    </row>
    <row r="19" spans="2:23" s="356" customFormat="1" ht="22.5" customHeight="1">
      <c r="B19" s="348" t="s">
        <v>347</v>
      </c>
      <c r="D19" s="481"/>
      <c r="E19" s="481"/>
      <c r="F19" s="481"/>
      <c r="G19" s="481"/>
      <c r="H19" s="481"/>
      <c r="I19" s="481"/>
      <c r="J19" s="481"/>
      <c r="K19" s="481"/>
      <c r="L19" s="487">
        <v>-1071.87824</v>
      </c>
      <c r="M19" s="487"/>
      <c r="N19" s="487"/>
      <c r="O19" s="487"/>
      <c r="P19" s="487">
        <v>-1072</v>
      </c>
    </row>
    <row r="20" spans="2:23" s="474" customFormat="1" ht="22.5" customHeight="1" thickBot="1">
      <c r="B20" s="357" t="s">
        <v>96</v>
      </c>
      <c r="D20" s="492">
        <f>SUM(D13:D19)</f>
        <v>64461.819580000003</v>
      </c>
      <c r="E20" s="493"/>
      <c r="F20" s="492">
        <f>SUM(F13:F19)</f>
        <v>3693.058</v>
      </c>
      <c r="G20" s="488"/>
      <c r="H20" s="492">
        <f>SUM(H13:H19)</f>
        <v>166628.72764</v>
      </c>
      <c r="I20" s="488"/>
      <c r="J20" s="492">
        <f>SUM(J13:J19)</f>
        <v>153896.04414000001</v>
      </c>
      <c r="K20" s="488"/>
      <c r="L20" s="492">
        <f>SUM(L13:L19)</f>
        <v>34624.198389999998</v>
      </c>
      <c r="M20" s="488"/>
      <c r="N20" s="492">
        <f>SUM(N13:N19)</f>
        <v>-148751.69109000001</v>
      </c>
      <c r="O20" s="488"/>
      <c r="P20" s="492">
        <f>SUM(P13:P19)-1</f>
        <v>274552.03490000009</v>
      </c>
    </row>
    <row r="21" spans="2:23" s="137" customFormat="1" ht="16.5" thickTop="1">
      <c r="B21" s="317"/>
      <c r="C21" s="356"/>
      <c r="D21" s="356"/>
      <c r="E21" s="356"/>
      <c r="F21" s="356"/>
      <c r="G21" s="356"/>
      <c r="H21" s="356"/>
      <c r="I21" s="356"/>
      <c r="J21" s="356"/>
      <c r="K21" s="356"/>
      <c r="L21" s="356"/>
      <c r="M21" s="356"/>
      <c r="N21" s="356"/>
      <c r="O21" s="356"/>
      <c r="P21" s="356"/>
    </row>
    <row r="22" spans="2:23" s="137" customFormat="1" ht="20.25">
      <c r="B22" s="479"/>
    </row>
    <row r="23" spans="2:23" s="137" customFormat="1"/>
    <row r="24" spans="2:23" s="137" customFormat="1"/>
    <row r="25" spans="2:23" s="137" customFormat="1"/>
    <row r="26" spans="2:23" s="137" customFormat="1"/>
    <row r="27" spans="2:23" s="137" customFormat="1"/>
    <row r="28" spans="2:23" s="137" customFormat="1"/>
    <row r="29" spans="2:23" s="137" customFormat="1"/>
    <row r="30" spans="2:23" s="137" customFormat="1"/>
    <row r="31" spans="2:23" s="137" customFormat="1"/>
    <row r="32" spans="2:23" s="137" customFormat="1"/>
    <row r="33" spans="8:8" s="137" customFormat="1" ht="15.75" thickBot="1">
      <c r="H33" s="482"/>
    </row>
    <row r="34" spans="8:8" s="137" customFormat="1" ht="15.75" thickTop="1"/>
    <row r="35" spans="8:8" s="137" customFormat="1"/>
    <row r="36" spans="8:8" s="137" customFormat="1"/>
    <row r="37" spans="8:8" s="137" customFormat="1"/>
    <row r="38" spans="8:8" s="137" customFormat="1"/>
    <row r="39" spans="8:8" s="137" customFormat="1"/>
    <row r="40" spans="8:8" s="137" customFormat="1"/>
    <row r="41" spans="8:8" s="137" customFormat="1"/>
    <row r="42" spans="8:8" s="137" customFormat="1"/>
    <row r="43" spans="8:8" s="137" customFormat="1"/>
    <row r="44" spans="8:8" s="137" customFormat="1"/>
    <row r="45" spans="8:8" s="137" customFormat="1"/>
    <row r="46" spans="8:8" s="137" customFormat="1"/>
    <row r="47" spans="8:8" s="137" customFormat="1"/>
    <row r="48" spans="8:8" s="137" customFormat="1"/>
    <row r="49" spans="2:2" s="137" customFormat="1"/>
    <row r="50" spans="2:2" s="137" customFormat="1"/>
    <row r="51" spans="2:2" s="137" customFormat="1"/>
    <row r="52" spans="2:2" s="137" customFormat="1"/>
    <row r="53" spans="2:2" s="137" customFormat="1"/>
    <row r="54" spans="2:2" s="137" customFormat="1"/>
    <row r="55" spans="2:2" s="137" customFormat="1"/>
    <row r="56" spans="2:2">
      <c r="B56" s="137"/>
    </row>
    <row r="57" spans="2:2">
      <c r="B57" s="137"/>
    </row>
  </sheetData>
  <phoneticPr fontId="0" type="noConversion"/>
  <printOptions horizontalCentered="1"/>
  <pageMargins left="0.57999999999999996" right="0" top="0.44" bottom="0.28000000000000003" header="0.16" footer="0"/>
  <pageSetup paperSize="9" scale="73" orientation="landscape" horizontalDpi="4294967294" r:id="rId1"/>
  <headerFooter alignWithMargins="0">
    <oddHeader>&amp;L&amp;"Times New Roman Greek,Bold"&amp;14Όμιλος Α.Ε. Τσιμέντων Τιτάν</oddHeader>
    <oddFooter>&amp;R42</oddFooter>
  </headerFooter>
</worksheet>
</file>

<file path=xl/worksheets/sheet17.xml><?xml version="1.0" encoding="utf-8"?>
<worksheet xmlns="http://schemas.openxmlformats.org/spreadsheetml/2006/main" xmlns:r="http://schemas.openxmlformats.org/officeDocument/2006/relationships">
  <sheetPr>
    <pageSetUpPr fitToPage="1"/>
  </sheetPr>
  <dimension ref="A3:E7"/>
  <sheetViews>
    <sheetView zoomScaleNormal="100" zoomScaleSheetLayoutView="100" workbookViewId="0">
      <selection activeCell="A3" sqref="A3:E7"/>
    </sheetView>
  </sheetViews>
  <sheetFormatPr defaultRowHeight="12.75"/>
  <cols>
    <col min="1" max="1" width="5.1640625" style="52" bestFit="1" customWidth="1"/>
    <col min="2" max="2" width="76" style="52" customWidth="1"/>
    <col min="3" max="8" width="9.33203125" style="52"/>
    <col min="9" max="9" width="4" style="52" customWidth="1"/>
    <col min="10" max="16384" width="9.33203125" style="52"/>
  </cols>
  <sheetData>
    <row r="3" spans="1:5" ht="18.75">
      <c r="A3" s="151">
        <v>33</v>
      </c>
      <c r="B3" s="152" t="s">
        <v>212</v>
      </c>
    </row>
    <row r="5" spans="1:5" ht="79.5" customHeight="1">
      <c r="B5" s="647" t="s">
        <v>194</v>
      </c>
      <c r="C5" s="647"/>
      <c r="D5" s="647"/>
      <c r="E5" s="647"/>
    </row>
    <row r="6" spans="1:5" ht="65.25" customHeight="1">
      <c r="B6" s="656" t="s">
        <v>186</v>
      </c>
      <c r="C6" s="656"/>
      <c r="D6" s="656"/>
      <c r="E6" s="656"/>
    </row>
    <row r="7" spans="1:5">
      <c r="B7" s="311"/>
      <c r="C7" s="311"/>
      <c r="D7" s="311"/>
      <c r="E7" s="311"/>
    </row>
  </sheetData>
  <mergeCells count="2">
    <mergeCell ref="B5:E5"/>
    <mergeCell ref="B6:E6"/>
  </mergeCells>
  <phoneticPr fontId="0" type="noConversion"/>
  <printOptions horizontalCentered="1"/>
  <pageMargins left="0.73619999999999997" right="0" top="0.98419999999999996" bottom="0.16" header="0.433" footer="0"/>
  <pageSetup paperSize="9" scale="87" orientation="portrait" draft="1" r:id="rId1"/>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2.xml><?xml version="1.0" encoding="utf-8"?>
<worksheet xmlns="http://schemas.openxmlformats.org/spreadsheetml/2006/main" xmlns:r="http://schemas.openxmlformats.org/officeDocument/2006/relationships">
  <sheetPr enableFormatConditionsCalculation="0">
    <tabColor indexed="19"/>
  </sheetPr>
  <dimension ref="A1:J50"/>
  <sheetViews>
    <sheetView showGridLines="0" tabSelected="1" topLeftCell="C1" zoomScale="154" zoomScaleNormal="154" zoomScaleSheetLayoutView="75" workbookViewId="0">
      <selection activeCell="P5" sqref="P5"/>
    </sheetView>
  </sheetViews>
  <sheetFormatPr defaultRowHeight="12.75"/>
  <cols>
    <col min="1" max="1" width="5.1640625" style="35" hidden="1" customWidth="1"/>
    <col min="2" max="2" width="6.5" style="35" hidden="1" customWidth="1"/>
    <col min="3" max="3" width="6.5" style="35" customWidth="1"/>
    <col min="4" max="4" width="56.33203125" style="35" customWidth="1"/>
    <col min="5" max="5" width="14.33203125" style="473" customWidth="1"/>
    <col min="6" max="6" width="17.5" style="473" customWidth="1"/>
    <col min="7" max="7" width="25.33203125" style="550" bestFit="1" customWidth="1"/>
    <col min="8" max="8" width="1.83203125" style="551" customWidth="1"/>
    <col min="9" max="9" width="1" style="35" hidden="1" customWidth="1"/>
    <col min="10" max="10" width="9.33203125" style="35" hidden="1" customWidth="1"/>
    <col min="11" max="11" width="14.6640625" style="35" bestFit="1" customWidth="1"/>
    <col min="12" max="16384" width="9.33203125" style="35"/>
  </cols>
  <sheetData>
    <row r="1" spans="1:10" ht="18.75">
      <c r="D1" s="36"/>
      <c r="E1" s="446"/>
      <c r="F1" s="446"/>
      <c r="G1" s="539"/>
      <c r="H1" s="540"/>
      <c r="I1" s="36"/>
    </row>
    <row r="2" spans="1:10" ht="20.25" customHeight="1">
      <c r="E2" s="517"/>
      <c r="F2" s="517"/>
      <c r="G2" s="516"/>
      <c r="H2" s="516"/>
      <c r="I2" s="517"/>
      <c r="J2" s="504"/>
    </row>
    <row r="3" spans="1:10" s="38" customFormat="1" ht="15" customHeight="1">
      <c r="A3" s="43">
        <v>0</v>
      </c>
      <c r="B3" s="37"/>
      <c r="C3" s="37"/>
      <c r="D3" s="619" t="s">
        <v>436</v>
      </c>
      <c r="E3" s="620"/>
      <c r="F3" s="614"/>
      <c r="G3" s="518"/>
      <c r="H3" s="518"/>
      <c r="I3" s="518"/>
    </row>
    <row r="4" spans="1:10" s="554" customFormat="1" ht="20.25">
      <c r="A4" s="552"/>
      <c r="B4" s="553"/>
      <c r="C4" s="553"/>
      <c r="D4" s="627" t="s">
        <v>437</v>
      </c>
      <c r="E4" s="627"/>
      <c r="F4" s="627"/>
      <c r="G4" s="627"/>
      <c r="H4" s="627"/>
      <c r="I4" s="627"/>
    </row>
    <row r="5" spans="1:10" s="38" customFormat="1" ht="13.5">
      <c r="A5" s="43"/>
      <c r="B5" s="37"/>
      <c r="C5" s="37"/>
      <c r="D5" s="519"/>
      <c r="E5" s="520"/>
      <c r="F5" s="520"/>
      <c r="G5" s="626"/>
      <c r="H5" s="626"/>
      <c r="I5" s="520"/>
    </row>
    <row r="6" spans="1:10" s="38" customFormat="1" hidden="1">
      <c r="A6" s="43"/>
      <c r="B6" s="37"/>
      <c r="C6" s="37"/>
      <c r="D6" s="518"/>
      <c r="E6" s="520"/>
      <c r="F6" s="520"/>
      <c r="G6" s="541"/>
      <c r="H6" s="542"/>
      <c r="I6" s="520"/>
    </row>
    <row r="7" spans="1:10" s="38" customFormat="1" ht="8.25" customHeight="1">
      <c r="A7" s="43"/>
      <c r="B7" s="37"/>
      <c r="C7" s="37"/>
      <c r="D7" s="518"/>
      <c r="E7" s="520"/>
      <c r="F7" s="520"/>
      <c r="G7" s="625"/>
      <c r="H7" s="625"/>
      <c r="I7" s="520"/>
    </row>
    <row r="8" spans="1:10" s="38" customFormat="1" ht="8.25" customHeight="1">
      <c r="A8" s="43"/>
      <c r="B8" s="37"/>
      <c r="C8" s="37"/>
      <c r="D8" s="556"/>
      <c r="E8" s="556"/>
      <c r="F8" s="556"/>
      <c r="G8" s="557"/>
      <c r="H8" s="558"/>
      <c r="I8" s="521"/>
    </row>
    <row r="9" spans="1:10" s="38" customFormat="1" ht="37.5" customHeight="1">
      <c r="A9" s="43">
        <v>0</v>
      </c>
      <c r="B9" s="37"/>
      <c r="C9" s="37"/>
      <c r="D9" s="559"/>
      <c r="E9" s="560"/>
      <c r="F9" s="615" t="s">
        <v>434</v>
      </c>
      <c r="G9" s="615" t="s">
        <v>432</v>
      </c>
      <c r="H9" s="568"/>
      <c r="I9" s="522"/>
    </row>
    <row r="10" spans="1:10" s="38" customFormat="1" ht="11.25" customHeight="1">
      <c r="A10" s="43">
        <v>0</v>
      </c>
      <c r="B10" s="37"/>
      <c r="C10" s="37"/>
      <c r="D10" s="561"/>
      <c r="E10" s="561"/>
      <c r="F10" s="561"/>
      <c r="G10" s="557"/>
      <c r="H10" s="562"/>
      <c r="I10" s="523"/>
    </row>
    <row r="11" spans="1:10" s="1" customFormat="1" ht="18.75" customHeight="1">
      <c r="A11" s="43">
        <v>73</v>
      </c>
      <c r="B11" s="39" t="s">
        <v>153</v>
      </c>
      <c r="C11" s="39"/>
      <c r="D11" s="555" t="s">
        <v>408</v>
      </c>
      <c r="E11" s="563"/>
      <c r="F11" s="594">
        <v>2609112.31</v>
      </c>
      <c r="G11" s="594">
        <v>1280655.6000000001</v>
      </c>
      <c r="H11" s="595"/>
      <c r="I11" s="524"/>
    </row>
    <row r="12" spans="1:10" s="1" customFormat="1" ht="18.75" customHeight="1">
      <c r="A12" s="43">
        <v>74</v>
      </c>
      <c r="B12" s="39" t="s">
        <v>154</v>
      </c>
      <c r="C12" s="39"/>
      <c r="D12" s="555" t="s">
        <v>409</v>
      </c>
      <c r="E12" s="563"/>
      <c r="F12" s="596">
        <v>2197254.4700000002</v>
      </c>
      <c r="G12" s="596">
        <v>1115333.6399999999</v>
      </c>
      <c r="H12" s="595"/>
      <c r="I12" s="524"/>
    </row>
    <row r="13" spans="1:10" s="47" customFormat="1" ht="18.75" customHeight="1">
      <c r="A13" s="43">
        <v>0</v>
      </c>
      <c r="B13" s="46"/>
      <c r="C13" s="46"/>
      <c r="D13" s="566" t="s">
        <v>420</v>
      </c>
      <c r="E13" s="563"/>
      <c r="F13" s="597">
        <f>F11-F12</f>
        <v>411857.83999999985</v>
      </c>
      <c r="G13" s="597">
        <f>G11-G12</f>
        <v>165321.9600000002</v>
      </c>
      <c r="H13" s="595"/>
      <c r="I13" s="524"/>
    </row>
    <row r="14" spans="1:10" s="1" customFormat="1" ht="18.75" customHeight="1">
      <c r="A14" s="43">
        <v>78</v>
      </c>
      <c r="B14" s="39" t="s">
        <v>155</v>
      </c>
      <c r="C14" s="39"/>
      <c r="D14" s="555" t="s">
        <v>410</v>
      </c>
      <c r="E14" s="563"/>
      <c r="F14" s="594">
        <v>0</v>
      </c>
      <c r="G14" s="594">
        <v>0</v>
      </c>
      <c r="H14" s="595"/>
      <c r="I14" s="524"/>
    </row>
    <row r="15" spans="1:10" s="1" customFormat="1" ht="18" customHeight="1">
      <c r="A15" s="43">
        <v>79</v>
      </c>
      <c r="B15" s="39" t="s">
        <v>156</v>
      </c>
      <c r="C15" s="39"/>
      <c r="D15" s="555" t="s">
        <v>411</v>
      </c>
      <c r="E15" s="563"/>
      <c r="F15" s="594">
        <v>194791.8</v>
      </c>
      <c r="G15" s="594">
        <v>91421.15</v>
      </c>
      <c r="H15" s="595"/>
      <c r="I15" s="524"/>
    </row>
    <row r="16" spans="1:10" s="1" customFormat="1" ht="15.75">
      <c r="A16" s="43">
        <v>81</v>
      </c>
      <c r="B16" s="39" t="s">
        <v>157</v>
      </c>
      <c r="C16" s="39"/>
      <c r="D16" s="555" t="s">
        <v>412</v>
      </c>
      <c r="E16" s="563"/>
      <c r="F16" s="594">
        <v>5234.43</v>
      </c>
      <c r="G16" s="594">
        <v>414.39</v>
      </c>
      <c r="H16" s="595"/>
      <c r="I16" s="524"/>
    </row>
    <row r="17" spans="1:9" s="1" customFormat="1" ht="42" customHeight="1">
      <c r="A17" s="43">
        <v>82</v>
      </c>
      <c r="B17" s="39" t="s">
        <v>158</v>
      </c>
      <c r="C17" s="39"/>
      <c r="D17" s="567" t="s">
        <v>421</v>
      </c>
      <c r="E17" s="563"/>
      <c r="F17" s="598">
        <f>F13-F15-F16</f>
        <v>211831.60999999987</v>
      </c>
      <c r="G17" s="598">
        <f>G13-G15-G16</f>
        <v>73486.420000000202</v>
      </c>
      <c r="H17" s="599"/>
      <c r="I17" s="524"/>
    </row>
    <row r="18" spans="1:9" s="1" customFormat="1" ht="4.5" hidden="1" customHeight="1">
      <c r="A18" s="43">
        <v>83</v>
      </c>
      <c r="B18" s="39" t="s">
        <v>159</v>
      </c>
      <c r="C18" s="39"/>
      <c r="D18" s="555"/>
      <c r="E18" s="563"/>
      <c r="F18" s="600"/>
      <c r="G18" s="600"/>
      <c r="H18" s="595"/>
      <c r="I18" s="525"/>
    </row>
    <row r="19" spans="1:9" s="1" customFormat="1" ht="18.75" hidden="1" customHeight="1">
      <c r="A19" s="43"/>
      <c r="B19" s="39"/>
      <c r="C19" s="39"/>
      <c r="D19" s="555" t="s">
        <v>360</v>
      </c>
      <c r="E19" s="563"/>
      <c r="F19" s="601">
        <v>0</v>
      </c>
      <c r="G19" s="601">
        <v>0</v>
      </c>
      <c r="H19" s="595"/>
      <c r="I19" s="524"/>
    </row>
    <row r="20" spans="1:9" s="1" customFormat="1" ht="18.75" hidden="1" customHeight="1">
      <c r="A20" s="43"/>
      <c r="B20" s="39"/>
      <c r="C20" s="39"/>
      <c r="D20" s="555" t="s">
        <v>361</v>
      </c>
      <c r="E20" s="563"/>
      <c r="F20" s="595">
        <v>0</v>
      </c>
      <c r="G20" s="595">
        <v>0</v>
      </c>
      <c r="H20" s="595"/>
      <c r="I20" s="524"/>
    </row>
    <row r="21" spans="1:9" s="1" customFormat="1" ht="18.75" customHeight="1">
      <c r="A21" s="43"/>
      <c r="B21" s="39"/>
      <c r="C21" s="39"/>
      <c r="D21" s="555" t="s">
        <v>422</v>
      </c>
      <c r="E21" s="563"/>
      <c r="F21" s="602">
        <v>8611.5300000000007</v>
      </c>
      <c r="G21" s="602">
        <v>2448.94</v>
      </c>
      <c r="H21" s="595"/>
      <c r="I21" s="524"/>
    </row>
    <row r="22" spans="1:9" s="49" customFormat="1" ht="30" customHeight="1">
      <c r="A22" s="43">
        <v>0</v>
      </c>
      <c r="B22" s="48"/>
      <c r="C22" s="48"/>
      <c r="D22" s="567" t="s">
        <v>423</v>
      </c>
      <c r="E22" s="563"/>
      <c r="F22" s="597">
        <f>F17-F21</f>
        <v>203220.07999999987</v>
      </c>
      <c r="G22" s="597">
        <f>G17-G21</f>
        <v>71037.4800000002</v>
      </c>
      <c r="H22" s="595"/>
      <c r="I22" s="524"/>
    </row>
    <row r="23" spans="1:9" s="49" customFormat="1" ht="18.75" customHeight="1">
      <c r="A23" s="43"/>
      <c r="B23" s="48"/>
      <c r="C23" s="48"/>
      <c r="D23" s="571" t="s">
        <v>426</v>
      </c>
      <c r="E23" s="572"/>
      <c r="F23" s="595">
        <v>132.24</v>
      </c>
      <c r="G23" s="595">
        <v>61.59</v>
      </c>
      <c r="H23" s="595"/>
      <c r="I23" s="524"/>
    </row>
    <row r="24" spans="1:9" s="49" customFormat="1" ht="18.75" hidden="1" customHeight="1">
      <c r="A24" s="43"/>
      <c r="B24" s="48"/>
      <c r="C24" s="48"/>
      <c r="D24" s="555" t="s">
        <v>97</v>
      </c>
      <c r="E24" s="563"/>
      <c r="F24" s="600"/>
      <c r="G24" s="600"/>
      <c r="H24" s="595"/>
      <c r="I24" s="524"/>
    </row>
    <row r="25" spans="1:9" s="49" customFormat="1" ht="15.75">
      <c r="A25" s="43"/>
      <c r="B25" s="48"/>
      <c r="C25" s="48"/>
      <c r="D25" s="571" t="s">
        <v>427</v>
      </c>
      <c r="E25" s="572"/>
      <c r="F25" s="600">
        <v>66522.48</v>
      </c>
      <c r="G25" s="600">
        <v>5340.09</v>
      </c>
      <c r="H25" s="595"/>
      <c r="I25" s="524"/>
    </row>
    <row r="26" spans="1:9" s="49" customFormat="1" ht="18.75" customHeight="1">
      <c r="A26" s="43">
        <v>0</v>
      </c>
      <c r="B26" s="48"/>
      <c r="C26" s="48"/>
      <c r="D26" s="573" t="s">
        <v>413</v>
      </c>
      <c r="E26" s="574"/>
      <c r="F26" s="598">
        <f>F22+F23-F25</f>
        <v>136829.83999999985</v>
      </c>
      <c r="G26" s="598">
        <f>G22+G23-G25</f>
        <v>65758.9800000002</v>
      </c>
      <c r="H26" s="599"/>
      <c r="I26" s="526"/>
    </row>
    <row r="27" spans="1:9" s="49" customFormat="1" ht="18.75" hidden="1" customHeight="1">
      <c r="A27" s="43"/>
      <c r="B27" s="48"/>
      <c r="C27" s="48"/>
      <c r="D27" s="555" t="s">
        <v>223</v>
      </c>
      <c r="E27" s="574"/>
      <c r="F27" s="603"/>
      <c r="G27" s="603"/>
      <c r="H27" s="599"/>
      <c r="I27" s="526"/>
    </row>
    <row r="28" spans="1:9" s="49" customFormat="1" ht="18.75" hidden="1" customHeight="1">
      <c r="A28" s="43"/>
      <c r="B28" s="48"/>
      <c r="C28" s="48"/>
      <c r="D28" s="573" t="s">
        <v>222</v>
      </c>
      <c r="E28" s="574"/>
      <c r="F28" s="599"/>
      <c r="G28" s="599"/>
      <c r="H28" s="599"/>
      <c r="I28" s="526"/>
    </row>
    <row r="29" spans="1:9" s="51" customFormat="1" ht="18.75" customHeight="1">
      <c r="A29" s="43">
        <v>0</v>
      </c>
      <c r="B29" s="50"/>
      <c r="C29" s="50"/>
      <c r="D29" s="571" t="s">
        <v>428</v>
      </c>
      <c r="E29" s="575"/>
      <c r="F29" s="594">
        <v>27365.97</v>
      </c>
      <c r="G29" s="594">
        <v>13151.8</v>
      </c>
      <c r="H29" s="595"/>
      <c r="I29" s="527"/>
    </row>
    <row r="30" spans="1:9" s="47" customFormat="1" ht="33" customHeight="1" thickBot="1">
      <c r="A30" s="43">
        <v>0</v>
      </c>
      <c r="B30" s="46"/>
      <c r="C30" s="46"/>
      <c r="D30" s="566" t="s">
        <v>414</v>
      </c>
      <c r="E30" s="576"/>
      <c r="F30" s="604">
        <f>F26-F29</f>
        <v>109463.86999999985</v>
      </c>
      <c r="G30" s="604">
        <f>G26-G29</f>
        <v>52607.180000000197</v>
      </c>
      <c r="H30" s="599"/>
      <c r="I30" s="528"/>
    </row>
    <row r="31" spans="1:9" s="47" customFormat="1" ht="18.75" hidden="1" customHeight="1" thickTop="1">
      <c r="A31" s="43"/>
      <c r="B31" s="46"/>
      <c r="C31" s="46"/>
      <c r="D31" s="573" t="s">
        <v>224</v>
      </c>
      <c r="E31" s="576"/>
      <c r="F31" s="576"/>
      <c r="G31" s="568"/>
      <c r="H31" s="568"/>
      <c r="I31" s="528"/>
    </row>
    <row r="32" spans="1:9" s="1" customFormat="1" ht="18.75" hidden="1" customHeight="1">
      <c r="A32" s="39"/>
      <c r="B32" s="39"/>
      <c r="C32" s="39"/>
      <c r="D32" s="555" t="s">
        <v>337</v>
      </c>
      <c r="E32" s="577">
        <v>31</v>
      </c>
      <c r="F32" s="577"/>
      <c r="G32" s="570">
        <f>1811423.21-1811423.21</f>
        <v>0</v>
      </c>
      <c r="H32" s="565"/>
      <c r="I32" s="524"/>
    </row>
    <row r="33" spans="1:9" s="1" customFormat="1" ht="18.75" customHeight="1" thickTop="1">
      <c r="A33" s="39"/>
      <c r="B33" s="39"/>
      <c r="C33" s="39"/>
      <c r="D33" s="555"/>
      <c r="E33" s="578"/>
      <c r="F33" s="578"/>
      <c r="G33" s="568"/>
      <c r="H33" s="565"/>
      <c r="I33" s="524"/>
    </row>
    <row r="34" spans="1:9" s="1" customFormat="1" ht="18.75" hidden="1" customHeight="1" thickBot="1">
      <c r="A34" s="39"/>
      <c r="B34" s="39"/>
      <c r="C34" s="39"/>
      <c r="D34" s="573" t="s">
        <v>358</v>
      </c>
      <c r="E34" s="555"/>
      <c r="F34" s="555"/>
      <c r="G34" s="579">
        <f>G30+G32</f>
        <v>52607.180000000197</v>
      </c>
      <c r="H34" s="568"/>
      <c r="I34" s="528"/>
    </row>
    <row r="35" spans="1:9" ht="15.75" hidden="1">
      <c r="D35" s="580"/>
      <c r="E35" s="580"/>
      <c r="F35" s="580"/>
      <c r="G35" s="564"/>
      <c r="H35" s="569"/>
      <c r="I35" s="529"/>
    </row>
    <row r="36" spans="1:9" ht="33" customHeight="1">
      <c r="D36" s="581"/>
      <c r="E36" s="582"/>
      <c r="F36" s="582"/>
      <c r="G36" s="569"/>
      <c r="H36" s="569"/>
      <c r="I36" s="530"/>
    </row>
    <row r="37" spans="1:9" ht="18.75" customHeight="1">
      <c r="D37" s="512"/>
      <c r="E37" s="513"/>
      <c r="F37" s="513"/>
      <c r="G37" s="543"/>
      <c r="H37" s="543"/>
      <c r="I37" s="513"/>
    </row>
    <row r="38" spans="1:9" ht="18.75" customHeight="1">
      <c r="D38" s="512"/>
      <c r="E38" s="513"/>
      <c r="F38" s="513"/>
      <c r="G38" s="543"/>
      <c r="H38" s="543"/>
      <c r="I38" s="513"/>
    </row>
    <row r="39" spans="1:9" ht="33" customHeight="1">
      <c r="D39" s="514"/>
      <c r="E39" s="513"/>
      <c r="F39" s="513"/>
      <c r="G39" s="544"/>
      <c r="H39" s="543"/>
      <c r="I39" s="513"/>
    </row>
    <row r="40" spans="1:9">
      <c r="D40" s="513"/>
      <c r="E40" s="513"/>
      <c r="F40" s="513"/>
      <c r="G40" s="545"/>
      <c r="H40" s="545"/>
      <c r="I40" s="513"/>
    </row>
    <row r="41" spans="1:9">
      <c r="D41" s="513"/>
      <c r="E41" s="513"/>
      <c r="F41" s="513"/>
      <c r="G41" s="546"/>
      <c r="H41" s="546"/>
      <c r="I41" s="515"/>
    </row>
    <row r="42" spans="1:9">
      <c r="D42" s="513"/>
      <c r="E42" s="513"/>
      <c r="F42" s="513"/>
      <c r="G42" s="546"/>
      <c r="H42" s="546"/>
      <c r="I42" s="515"/>
    </row>
    <row r="43" spans="1:9" ht="18.75" customHeight="1">
      <c r="D43" s="623"/>
      <c r="E43" s="500"/>
      <c r="F43" s="500"/>
      <c r="G43" s="547"/>
      <c r="H43" s="547"/>
      <c r="I43" s="480"/>
    </row>
    <row r="44" spans="1:9" ht="15" customHeight="1">
      <c r="D44" s="623"/>
      <c r="E44" s="500"/>
      <c r="F44" s="500"/>
      <c r="G44" s="547"/>
      <c r="H44" s="547"/>
      <c r="I44" s="480"/>
    </row>
    <row r="45" spans="1:9">
      <c r="D45" s="624"/>
      <c r="E45" s="500"/>
      <c r="F45" s="500"/>
      <c r="G45" s="547"/>
      <c r="H45" s="547"/>
      <c r="I45" s="480"/>
    </row>
    <row r="46" spans="1:9" ht="15.75">
      <c r="D46" s="501"/>
      <c r="E46" s="500"/>
      <c r="F46" s="500"/>
      <c r="G46" s="548"/>
      <c r="H46" s="548"/>
      <c r="I46" s="465"/>
    </row>
    <row r="47" spans="1:9" ht="15.75">
      <c r="D47" s="502"/>
      <c r="E47" s="500"/>
      <c r="F47" s="500"/>
      <c r="G47" s="548"/>
      <c r="H47" s="548"/>
      <c r="I47" s="465"/>
    </row>
    <row r="48" spans="1:9">
      <c r="D48" s="499"/>
      <c r="E48" s="500"/>
      <c r="F48" s="500"/>
      <c r="G48" s="549"/>
      <c r="H48" s="547"/>
      <c r="I48" s="480"/>
    </row>
    <row r="49" spans="2:3">
      <c r="C49" s="250"/>
    </row>
    <row r="50" spans="2:3">
      <c r="B50" s="35" t="s">
        <v>7</v>
      </c>
    </row>
  </sheetData>
  <mergeCells count="5">
    <mergeCell ref="D3:E3"/>
    <mergeCell ref="D43:D45"/>
    <mergeCell ref="G7:H7"/>
    <mergeCell ref="G5:H5"/>
    <mergeCell ref="D4:I4"/>
  </mergeCells>
  <phoneticPr fontId="0" type="noConversion"/>
  <printOptions horizontalCentered="1"/>
  <pageMargins left="0.59055118110236227" right="0" top="1.2598425196850394" bottom="0" header="3.937007874015748E-2" footer="0"/>
  <pageSetup paperSize="9" scale="80" orientation="portrait" r:id="rId1"/>
  <headerFooter alignWithMargins="0">
    <oddFooter>&amp;R&amp;14 2</oddFooter>
  </headerFooter>
  <ignoredErrors>
    <ignoredError sqref="H9" numberStoredAsText="1"/>
  </ignoredErrors>
</worksheet>
</file>

<file path=xl/worksheets/sheet3.xml><?xml version="1.0" encoding="utf-8"?>
<worksheet xmlns="http://schemas.openxmlformats.org/spreadsheetml/2006/main" xmlns:r="http://schemas.openxmlformats.org/officeDocument/2006/relationships">
  <sheetPr enableFormatConditionsCalculation="0">
    <tabColor indexed="27"/>
    <pageSetUpPr fitToPage="1"/>
  </sheetPr>
  <dimension ref="A2:N77"/>
  <sheetViews>
    <sheetView zoomScale="70" zoomScaleNormal="50" zoomScaleSheetLayoutView="100" workbookViewId="0">
      <selection activeCell="K85" sqref="K85"/>
    </sheetView>
  </sheetViews>
  <sheetFormatPr defaultColWidth="10.6640625" defaultRowHeight="12.75"/>
  <cols>
    <col min="1" max="1" width="44.6640625" style="14" bestFit="1" customWidth="1"/>
    <col min="2" max="2" width="13.6640625" style="18" customWidth="1"/>
    <col min="3" max="3" width="19.33203125" style="14" customWidth="1"/>
    <col min="4" max="4" width="1.6640625" style="196" customWidth="1"/>
    <col min="5" max="5" width="18.1640625" style="14" bestFit="1" customWidth="1"/>
    <col min="6" max="6" width="1.6640625" style="196" customWidth="1"/>
    <col min="7" max="7" width="18.1640625" style="14" bestFit="1" customWidth="1"/>
    <col min="8" max="8" width="1.6640625" style="196" customWidth="1"/>
    <col min="9" max="9" width="19.1640625" style="14" customWidth="1"/>
    <col min="10" max="10" width="1.6640625" style="196" customWidth="1"/>
    <col min="11" max="11" width="18.5" style="14" bestFit="1" customWidth="1"/>
    <col min="12" max="12" width="1.6640625" style="196" customWidth="1"/>
    <col min="13" max="13" width="18.33203125" style="14" bestFit="1" customWidth="1"/>
    <col min="14" max="14" width="10.6640625" style="15" customWidth="1"/>
    <col min="15" max="16384" width="10.6640625" style="14"/>
  </cols>
  <sheetData>
    <row r="2" spans="1:14" ht="20.25">
      <c r="A2" s="628" t="s">
        <v>0</v>
      </c>
      <c r="B2" s="628"/>
      <c r="C2" s="628"/>
      <c r="D2" s="628"/>
      <c r="E2" s="628"/>
      <c r="F2" s="628"/>
      <c r="G2" s="628"/>
      <c r="H2" s="628"/>
      <c r="I2" s="628"/>
      <c r="J2" s="194"/>
    </row>
    <row r="3" spans="1:14" ht="20.25">
      <c r="A3" s="628" t="s">
        <v>366</v>
      </c>
      <c r="B3" s="628"/>
      <c r="C3" s="628"/>
      <c r="D3" s="628"/>
      <c r="E3" s="628"/>
      <c r="F3" s="628"/>
      <c r="G3" s="628"/>
      <c r="H3" s="628"/>
      <c r="I3" s="628"/>
      <c r="J3" s="194"/>
    </row>
    <row r="4" spans="1:14" ht="15">
      <c r="A4" s="12" t="s">
        <v>278</v>
      </c>
      <c r="B4" s="13"/>
    </row>
    <row r="5" spans="1:14">
      <c r="A5" s="16"/>
      <c r="B5" s="17"/>
    </row>
    <row r="6" spans="1:14" ht="15.75">
      <c r="A6" s="260" t="s">
        <v>2</v>
      </c>
    </row>
    <row r="7" spans="1:14" ht="33" customHeight="1">
      <c r="A7" s="196"/>
      <c r="B7" s="203" t="s">
        <v>277</v>
      </c>
      <c r="C7" s="204" t="s">
        <v>264</v>
      </c>
      <c r="D7" s="204"/>
      <c r="E7" s="204" t="s">
        <v>280</v>
      </c>
      <c r="F7" s="204"/>
      <c r="G7" s="204" t="s">
        <v>74</v>
      </c>
      <c r="H7" s="204"/>
      <c r="I7" s="204" t="s">
        <v>183</v>
      </c>
      <c r="J7" s="204"/>
      <c r="K7" s="204" t="s">
        <v>309</v>
      </c>
      <c r="L7" s="204"/>
      <c r="M7" s="204" t="s">
        <v>269</v>
      </c>
    </row>
    <row r="9" spans="1:14">
      <c r="A9" s="16" t="s">
        <v>367</v>
      </c>
      <c r="B9" s="17"/>
      <c r="C9" s="19"/>
      <c r="D9" s="195"/>
      <c r="E9" s="19"/>
      <c r="F9" s="195"/>
      <c r="G9" s="19"/>
      <c r="H9" s="195"/>
      <c r="I9" s="19"/>
      <c r="J9" s="195"/>
      <c r="K9" s="19"/>
      <c r="L9" s="195"/>
      <c r="M9" s="19"/>
    </row>
    <row r="10" spans="1:14">
      <c r="C10" s="19"/>
      <c r="D10" s="195"/>
      <c r="E10" s="19"/>
      <c r="F10" s="195"/>
      <c r="G10" s="19"/>
      <c r="H10" s="195"/>
      <c r="I10" s="19"/>
      <c r="J10" s="195"/>
      <c r="K10" s="19"/>
      <c r="L10" s="195"/>
      <c r="M10" s="19"/>
    </row>
    <row r="11" spans="1:14">
      <c r="A11" s="16"/>
      <c r="B11" s="17"/>
      <c r="C11" s="168"/>
      <c r="D11" s="170"/>
      <c r="E11" s="168"/>
      <c r="F11" s="170"/>
      <c r="G11" s="168"/>
      <c r="H11" s="170"/>
      <c r="I11" s="168"/>
      <c r="J11" s="170"/>
      <c r="K11" s="168"/>
      <c r="L11" s="170"/>
      <c r="M11" s="168"/>
    </row>
    <row r="12" spans="1:14">
      <c r="A12" s="14" t="s">
        <v>368</v>
      </c>
      <c r="C12" s="369">
        <v>91516036.799999997</v>
      </c>
      <c r="D12" s="369"/>
      <c r="E12" s="369">
        <v>15741063.58</v>
      </c>
      <c r="F12" s="369"/>
      <c r="G12" s="369">
        <v>9082752</v>
      </c>
      <c r="H12" s="369"/>
      <c r="I12" s="369">
        <f>298774223.48+21262134.55</f>
        <v>320036358.03000003</v>
      </c>
      <c r="J12" s="369"/>
      <c r="K12" s="369">
        <v>10018555.859999999</v>
      </c>
      <c r="L12" s="369"/>
      <c r="M12" s="369">
        <f>SUM(C12:K12)</f>
        <v>446394766.27000004</v>
      </c>
    </row>
    <row r="13" spans="1:14">
      <c r="C13" s="168"/>
      <c r="D13" s="170"/>
      <c r="E13" s="168"/>
      <c r="F13" s="170"/>
      <c r="G13" s="168"/>
      <c r="H13" s="170"/>
      <c r="I13" s="168"/>
      <c r="J13" s="170"/>
      <c r="K13" s="168"/>
      <c r="L13" s="170"/>
      <c r="M13" s="168"/>
    </row>
    <row r="14" spans="1:14" ht="25.5" hidden="1">
      <c r="A14" s="246" t="s">
        <v>92</v>
      </c>
      <c r="C14" s="168">
        <v>0</v>
      </c>
      <c r="D14" s="170"/>
      <c r="E14" s="168">
        <v>0</v>
      </c>
      <c r="F14" s="170"/>
      <c r="G14" s="168">
        <v>0</v>
      </c>
      <c r="H14" s="170"/>
      <c r="I14" s="168">
        <v>0</v>
      </c>
      <c r="J14" s="170"/>
      <c r="K14" s="168">
        <v>0</v>
      </c>
      <c r="L14" s="170"/>
      <c r="M14" s="168">
        <v>0</v>
      </c>
    </row>
    <row r="15" spans="1:14">
      <c r="A15" s="14" t="s">
        <v>171</v>
      </c>
      <c r="C15" s="168">
        <v>0</v>
      </c>
      <c r="D15" s="170"/>
      <c r="E15" s="168">
        <v>0</v>
      </c>
      <c r="F15" s="170"/>
      <c r="G15" s="168">
        <v>0</v>
      </c>
      <c r="H15" s="170"/>
      <c r="I15" s="168">
        <v>68662121.659999996</v>
      </c>
      <c r="J15" s="170"/>
      <c r="K15" s="168">
        <v>-68662121.659999996</v>
      </c>
      <c r="L15" s="170"/>
      <c r="M15" s="369">
        <f t="shared" ref="M15:M22" si="0">SUM(C15:K15)</f>
        <v>0</v>
      </c>
      <c r="N15" s="247"/>
    </row>
    <row r="16" spans="1:14">
      <c r="A16" s="14" t="s">
        <v>285</v>
      </c>
      <c r="B16" s="18">
        <v>22</v>
      </c>
      <c r="C16" s="168">
        <v>0</v>
      </c>
      <c r="D16" s="170"/>
      <c r="E16" s="168">
        <v>0</v>
      </c>
      <c r="F16" s="170"/>
      <c r="G16" s="168">
        <v>0</v>
      </c>
      <c r="H16" s="170"/>
      <c r="I16" s="168">
        <v>17052218.280000001</v>
      </c>
      <c r="J16" s="170"/>
      <c r="K16" s="168">
        <v>0</v>
      </c>
      <c r="L16" s="170"/>
      <c r="M16" s="369">
        <f t="shared" si="0"/>
        <v>17052218.280000001</v>
      </c>
    </row>
    <row r="17" spans="1:13">
      <c r="A17" s="14" t="s">
        <v>274</v>
      </c>
      <c r="B17" s="18">
        <v>19</v>
      </c>
      <c r="C17" s="168">
        <v>0</v>
      </c>
      <c r="D17" s="170"/>
      <c r="E17" s="168">
        <v>0</v>
      </c>
      <c r="F17" s="170"/>
      <c r="G17" s="168">
        <v>0</v>
      </c>
      <c r="H17" s="170"/>
      <c r="I17" s="168">
        <f>-5968276.4</f>
        <v>-5968276.4000000004</v>
      </c>
      <c r="J17" s="170"/>
      <c r="K17" s="168">
        <v>0</v>
      </c>
      <c r="L17" s="170"/>
      <c r="M17" s="369">
        <f t="shared" si="0"/>
        <v>-5968276.4000000004</v>
      </c>
    </row>
    <row r="18" spans="1:13">
      <c r="A18" s="14" t="s">
        <v>286</v>
      </c>
      <c r="B18" s="18">
        <v>7</v>
      </c>
      <c r="C18" s="168">
        <v>0</v>
      </c>
      <c r="D18" s="170"/>
      <c r="E18" s="168">
        <v>0</v>
      </c>
      <c r="F18" s="170"/>
      <c r="G18" s="168">
        <v>0</v>
      </c>
      <c r="H18" s="170"/>
      <c r="I18" s="168">
        <v>0</v>
      </c>
      <c r="J18" s="170"/>
      <c r="K18" s="168">
        <v>-39868091.399999999</v>
      </c>
      <c r="L18" s="170"/>
      <c r="M18" s="369">
        <f t="shared" si="0"/>
        <v>-39868091.399999999</v>
      </c>
    </row>
    <row r="19" spans="1:13">
      <c r="A19" s="14" t="s">
        <v>365</v>
      </c>
      <c r="C19" s="168">
        <v>0</v>
      </c>
      <c r="D19" s="170"/>
      <c r="E19" s="168">
        <v>0</v>
      </c>
      <c r="F19" s="170"/>
      <c r="G19" s="168">
        <v>0</v>
      </c>
      <c r="H19" s="170"/>
      <c r="I19" s="168">
        <v>0</v>
      </c>
      <c r="J19" s="170"/>
      <c r="K19" s="168">
        <v>116107413.09999999</v>
      </c>
      <c r="L19" s="170"/>
      <c r="M19" s="369">
        <f t="shared" si="0"/>
        <v>116107413.09999999</v>
      </c>
    </row>
    <row r="20" spans="1:13">
      <c r="A20" s="14" t="s">
        <v>288</v>
      </c>
      <c r="B20" s="18">
        <v>24</v>
      </c>
      <c r="C20" s="169">
        <v>120600</v>
      </c>
      <c r="D20" s="170"/>
      <c r="E20" s="169">
        <v>1354237.5</v>
      </c>
      <c r="F20" s="170"/>
      <c r="G20" s="169">
        <v>0</v>
      </c>
      <c r="H20" s="170"/>
      <c r="I20" s="169">
        <v>0</v>
      </c>
      <c r="J20" s="170"/>
      <c r="K20" s="169">
        <v>0</v>
      </c>
      <c r="L20" s="170"/>
      <c r="M20" s="445">
        <f t="shared" si="0"/>
        <v>1474837.5</v>
      </c>
    </row>
    <row r="21" spans="1:13">
      <c r="C21" s="168"/>
      <c r="D21" s="170"/>
      <c r="E21" s="168"/>
      <c r="F21" s="170"/>
      <c r="G21" s="168"/>
      <c r="H21" s="170"/>
      <c r="I21" s="168"/>
      <c r="J21" s="170"/>
      <c r="K21" s="168"/>
      <c r="L21" s="170"/>
      <c r="M21" s="369"/>
    </row>
    <row r="22" spans="1:13" ht="13.5" thickBot="1">
      <c r="A22" s="16" t="s">
        <v>369</v>
      </c>
      <c r="B22" s="17"/>
      <c r="C22" s="171">
        <f>SUM(C12:C20)</f>
        <v>91636636.799999997</v>
      </c>
      <c r="D22" s="197"/>
      <c r="E22" s="171">
        <f>SUM(E12:E20)</f>
        <v>17095301.079999998</v>
      </c>
      <c r="F22" s="197"/>
      <c r="G22" s="171">
        <f>SUM(G12:G20)</f>
        <v>9082752</v>
      </c>
      <c r="H22" s="197"/>
      <c r="I22" s="171">
        <f>SUM(I12:I20)</f>
        <v>399782421.57000005</v>
      </c>
      <c r="J22" s="197"/>
      <c r="K22" s="171">
        <f>SUM(K12:K20)</f>
        <v>17595755.900000006</v>
      </c>
      <c r="L22" s="197"/>
      <c r="M22" s="466">
        <f t="shared" si="0"/>
        <v>535192867.35000002</v>
      </c>
    </row>
    <row r="23" spans="1:13" hidden="1">
      <c r="C23" s="19"/>
      <c r="D23" s="195"/>
      <c r="E23" s="19"/>
      <c r="F23" s="195"/>
      <c r="G23" s="19"/>
      <c r="H23" s="195"/>
      <c r="I23" s="19"/>
      <c r="J23" s="195"/>
      <c r="K23" s="19"/>
      <c r="L23" s="195"/>
      <c r="M23" s="19"/>
    </row>
    <row r="24" spans="1:13" hidden="1">
      <c r="A24" s="22" t="s">
        <v>290</v>
      </c>
      <c r="B24" s="23"/>
      <c r="C24" s="19"/>
      <c r="D24" s="195"/>
      <c r="E24" s="19"/>
      <c r="F24" s="195"/>
      <c r="G24" s="19"/>
      <c r="H24" s="195"/>
      <c r="I24" s="19"/>
      <c r="J24" s="195"/>
      <c r="K24" s="19"/>
      <c r="L24" s="195"/>
      <c r="M24" s="19"/>
    </row>
    <row r="25" spans="1:13" hidden="1">
      <c r="C25" s="19"/>
      <c r="D25" s="195"/>
      <c r="E25" s="19"/>
      <c r="F25" s="195"/>
      <c r="G25" s="19"/>
      <c r="H25" s="195"/>
      <c r="I25" s="19"/>
      <c r="J25" s="195"/>
      <c r="K25" s="19"/>
      <c r="L25" s="195"/>
      <c r="M25" s="19"/>
    </row>
    <row r="26" spans="1:13" hidden="1">
      <c r="A26" s="20" t="s">
        <v>284</v>
      </c>
      <c r="B26" s="24"/>
      <c r="C26" s="25">
        <v>2001</v>
      </c>
      <c r="D26" s="198"/>
      <c r="E26" s="25">
        <v>2001</v>
      </c>
      <c r="F26" s="198"/>
      <c r="G26" s="25">
        <v>2000</v>
      </c>
      <c r="H26" s="198"/>
      <c r="I26" s="19"/>
      <c r="J26" s="195"/>
      <c r="K26" s="19"/>
      <c r="L26" s="195"/>
      <c r="M26" s="19"/>
    </row>
    <row r="27" spans="1:13" hidden="1">
      <c r="A27" s="16" t="s">
        <v>291</v>
      </c>
      <c r="B27" s="17"/>
      <c r="C27" s="26" t="s">
        <v>358</v>
      </c>
      <c r="D27" s="199"/>
      <c r="E27" s="26" t="s">
        <v>292</v>
      </c>
      <c r="F27" s="199"/>
      <c r="G27" s="26" t="s">
        <v>292</v>
      </c>
      <c r="H27" s="199"/>
      <c r="I27" s="19"/>
      <c r="J27" s="195"/>
      <c r="K27" s="19"/>
      <c r="L27" s="195"/>
      <c r="M27" s="19"/>
    </row>
    <row r="28" spans="1:13" hidden="1">
      <c r="C28" s="19"/>
      <c r="D28" s="195"/>
      <c r="E28" s="19"/>
      <c r="F28" s="195"/>
      <c r="G28" s="19"/>
      <c r="H28" s="195"/>
      <c r="I28" s="19"/>
      <c r="J28" s="195"/>
      <c r="K28" s="19"/>
      <c r="L28" s="195"/>
      <c r="M28" s="19"/>
    </row>
    <row r="29" spans="1:13" hidden="1">
      <c r="A29" s="14" t="s">
        <v>293</v>
      </c>
      <c r="C29" s="19">
        <v>292696.46999999997</v>
      </c>
      <c r="D29" s="195"/>
      <c r="E29" s="27">
        <v>-358898.4</v>
      </c>
      <c r="F29" s="202"/>
      <c r="G29" s="19">
        <f>E29-C29</f>
        <v>-651594.87</v>
      </c>
      <c r="H29" s="195"/>
      <c r="I29" s="19"/>
      <c r="J29" s="195"/>
      <c r="K29" s="19"/>
      <c r="L29" s="195"/>
      <c r="M29" s="19"/>
    </row>
    <row r="30" spans="1:13" hidden="1">
      <c r="A30" s="14" t="s">
        <v>294</v>
      </c>
      <c r="C30" s="19">
        <v>1084871</v>
      </c>
      <c r="D30" s="195"/>
      <c r="E30" s="19">
        <v>11141310.15</v>
      </c>
      <c r="F30" s="195"/>
      <c r="G30" s="19">
        <f>E30-C30</f>
        <v>10056439.15</v>
      </c>
      <c r="H30" s="195"/>
      <c r="I30" s="19"/>
      <c r="J30" s="195"/>
      <c r="K30" s="19"/>
      <c r="L30" s="195"/>
      <c r="M30" s="19"/>
    </row>
    <row r="31" spans="1:13" hidden="1">
      <c r="A31" s="14" t="s">
        <v>295</v>
      </c>
      <c r="C31" s="19">
        <v>-181760.17</v>
      </c>
      <c r="D31" s="195"/>
      <c r="E31" s="19">
        <v>5304023.01</v>
      </c>
      <c r="F31" s="195"/>
      <c r="G31" s="19">
        <f>E31-C31</f>
        <v>5485783.1799999997</v>
      </c>
      <c r="H31" s="195"/>
      <c r="I31" s="19"/>
      <c r="J31" s="195"/>
      <c r="K31" s="19"/>
      <c r="L31" s="195"/>
      <c r="M31" s="19"/>
    </row>
    <row r="32" spans="1:13" ht="13.5" hidden="1" thickBot="1">
      <c r="C32" s="28">
        <f>SUM(C29:C31)</f>
        <v>1195807.3</v>
      </c>
      <c r="D32" s="195"/>
      <c r="E32" s="28">
        <f>SUM(E29:E31)</f>
        <v>16086434.76</v>
      </c>
      <c r="F32" s="195"/>
      <c r="G32" s="28">
        <f>SUM(G29:G31)</f>
        <v>14890627.460000001</v>
      </c>
      <c r="H32" s="195"/>
      <c r="I32" s="19"/>
      <c r="J32" s="195"/>
      <c r="K32" s="19"/>
      <c r="L32" s="195"/>
      <c r="M32" s="19"/>
    </row>
    <row r="33" spans="1:13" hidden="1">
      <c r="C33" s="19"/>
      <c r="D33" s="195"/>
      <c r="E33" s="19"/>
      <c r="F33" s="195"/>
      <c r="G33" s="19"/>
      <c r="H33" s="195"/>
      <c r="I33" s="19"/>
      <c r="J33" s="195"/>
      <c r="K33" s="19"/>
      <c r="L33" s="195"/>
      <c r="M33" s="19"/>
    </row>
    <row r="34" spans="1:13" hidden="1">
      <c r="A34" s="20" t="s">
        <v>287</v>
      </c>
      <c r="B34" s="24"/>
      <c r="C34" s="29">
        <v>26747829.120000001</v>
      </c>
      <c r="D34" s="200"/>
      <c r="E34" s="19"/>
      <c r="F34" s="195"/>
      <c r="G34" s="19"/>
      <c r="H34" s="195"/>
      <c r="I34" s="19"/>
      <c r="J34" s="195"/>
      <c r="K34" s="19"/>
      <c r="L34" s="195"/>
      <c r="M34" s="19"/>
    </row>
    <row r="35" spans="1:13" hidden="1">
      <c r="A35" s="14" t="s">
        <v>296</v>
      </c>
      <c r="C35" s="30">
        <v>11035798.289999999</v>
      </c>
      <c r="D35" s="195"/>
      <c r="E35" s="19"/>
      <c r="F35" s="195"/>
      <c r="G35" s="19"/>
      <c r="H35" s="195"/>
      <c r="I35" s="19"/>
      <c r="J35" s="195"/>
      <c r="K35" s="19"/>
      <c r="L35" s="195"/>
      <c r="M35" s="19"/>
    </row>
    <row r="36" spans="1:13" hidden="1">
      <c r="A36" s="14" t="s">
        <v>297</v>
      </c>
      <c r="C36" s="31">
        <f>C34-C35</f>
        <v>15712030.830000002</v>
      </c>
      <c r="D36" s="195"/>
      <c r="E36" s="19"/>
      <c r="F36" s="195"/>
      <c r="G36" s="19"/>
      <c r="H36" s="195"/>
      <c r="I36" s="19"/>
      <c r="J36" s="195"/>
      <c r="K36" s="19"/>
      <c r="L36" s="195"/>
      <c r="M36" s="19"/>
    </row>
    <row r="37" spans="1:13" hidden="1"/>
    <row r="38" spans="1:13" hidden="1">
      <c r="A38" s="16" t="s">
        <v>298</v>
      </c>
      <c r="B38" s="17"/>
      <c r="C38" s="19"/>
      <c r="D38" s="195"/>
    </row>
    <row r="39" spans="1:13" hidden="1">
      <c r="A39" s="22" t="s">
        <v>282</v>
      </c>
      <c r="B39" s="23"/>
      <c r="C39" s="32"/>
      <c r="D39" s="201"/>
      <c r="E39" s="32">
        <v>2001</v>
      </c>
      <c r="F39" s="201"/>
      <c r="G39" s="32">
        <v>2000</v>
      </c>
      <c r="H39" s="201"/>
      <c r="I39" s="32" t="s">
        <v>299</v>
      </c>
      <c r="J39" s="201"/>
    </row>
    <row r="40" spans="1:13" hidden="1">
      <c r="C40" s="19"/>
      <c r="D40" s="195"/>
    </row>
    <row r="41" spans="1:13" hidden="1">
      <c r="A41" s="14" t="s">
        <v>300</v>
      </c>
      <c r="E41" s="19">
        <v>2542292</v>
      </c>
      <c r="F41" s="195"/>
      <c r="G41" s="19">
        <v>2211149</v>
      </c>
      <c r="H41" s="195"/>
      <c r="I41" s="19">
        <f t="shared" ref="I41:I48" si="1">E41-G41</f>
        <v>331143</v>
      </c>
      <c r="J41" s="195"/>
    </row>
    <row r="42" spans="1:13" hidden="1">
      <c r="A42" s="14" t="s">
        <v>301</v>
      </c>
      <c r="E42" s="19">
        <v>327234</v>
      </c>
      <c r="F42" s="195"/>
      <c r="G42" s="19">
        <v>11363032</v>
      </c>
      <c r="H42" s="195"/>
      <c r="I42" s="19">
        <f t="shared" si="1"/>
        <v>-11035798</v>
      </c>
      <c r="J42" s="195"/>
    </row>
    <row r="43" spans="1:13" hidden="1">
      <c r="A43" s="14" t="s">
        <v>220</v>
      </c>
      <c r="E43" s="19">
        <v>1228365</v>
      </c>
      <c r="F43" s="195"/>
      <c r="G43" s="19">
        <v>1756111</v>
      </c>
      <c r="H43" s="195"/>
      <c r="I43" s="19">
        <f t="shared" si="1"/>
        <v>-527746</v>
      </c>
      <c r="J43" s="195"/>
    </row>
    <row r="44" spans="1:13" hidden="1">
      <c r="A44" s="14" t="s">
        <v>185</v>
      </c>
      <c r="E44" s="19">
        <v>25347920</v>
      </c>
      <c r="F44" s="195"/>
      <c r="G44" s="19">
        <v>21054539</v>
      </c>
      <c r="H44" s="195"/>
      <c r="I44" s="19">
        <f t="shared" si="1"/>
        <v>4293381</v>
      </c>
      <c r="J44" s="195"/>
    </row>
    <row r="45" spans="1:13" hidden="1">
      <c r="A45" s="14" t="s">
        <v>184</v>
      </c>
      <c r="E45" s="19">
        <v>1769301</v>
      </c>
      <c r="F45" s="195"/>
      <c r="G45" s="19">
        <v>1769301</v>
      </c>
      <c r="H45" s="195"/>
      <c r="I45" s="19">
        <f t="shared" si="1"/>
        <v>0</v>
      </c>
      <c r="J45" s="195"/>
    </row>
    <row r="46" spans="1:13" hidden="1">
      <c r="A46" s="14" t="s">
        <v>219</v>
      </c>
      <c r="E46" s="19">
        <v>93894152</v>
      </c>
      <c r="F46" s="195"/>
      <c r="G46" s="19">
        <v>68357056</v>
      </c>
      <c r="H46" s="195"/>
      <c r="I46" s="19">
        <f t="shared" si="1"/>
        <v>25537096</v>
      </c>
      <c r="J46" s="195"/>
      <c r="M46" s="19"/>
    </row>
    <row r="47" spans="1:13" hidden="1">
      <c r="A47" s="14" t="s">
        <v>302</v>
      </c>
      <c r="E47" s="19">
        <v>126016660</v>
      </c>
      <c r="F47" s="195"/>
      <c r="G47" s="19">
        <v>120815845</v>
      </c>
      <c r="H47" s="195"/>
      <c r="I47" s="19">
        <f t="shared" si="1"/>
        <v>5200815</v>
      </c>
      <c r="J47" s="195"/>
    </row>
    <row r="48" spans="1:13" ht="13.5" hidden="1" thickBot="1">
      <c r="E48" s="28">
        <f>SUM(E41:E47)</f>
        <v>251125924</v>
      </c>
      <c r="F48" s="195"/>
      <c r="G48" s="28">
        <f>SUM(G41:G47)</f>
        <v>227327033</v>
      </c>
      <c r="H48" s="195"/>
      <c r="I48" s="28">
        <f t="shared" si="1"/>
        <v>23798891</v>
      </c>
      <c r="J48" s="195"/>
    </row>
    <row r="49" spans="1:13" ht="13.5" hidden="1" thickBot="1">
      <c r="M49" s="33">
        <f>I48-I52</f>
        <v>1592596.0799999833</v>
      </c>
    </row>
    <row r="50" spans="1:13" ht="13.5" hidden="1" thickTop="1">
      <c r="A50" s="14" t="s">
        <v>283</v>
      </c>
      <c r="E50" s="19">
        <v>247030967.52000001</v>
      </c>
      <c r="F50" s="195"/>
      <c r="G50" s="19">
        <f>G48</f>
        <v>227327033</v>
      </c>
      <c r="H50" s="195"/>
      <c r="I50" s="19">
        <f>E50-G50</f>
        <v>19703934.520000011</v>
      </c>
      <c r="J50" s="195"/>
    </row>
    <row r="51" spans="1:13" hidden="1">
      <c r="A51" s="14" t="s">
        <v>303</v>
      </c>
      <c r="E51" s="19">
        <v>2502360.4</v>
      </c>
      <c r="F51" s="195"/>
      <c r="G51" s="19">
        <v>0</v>
      </c>
      <c r="H51" s="195"/>
      <c r="I51" s="19">
        <f>E51-G51</f>
        <v>2502360.4</v>
      </c>
      <c r="J51" s="195"/>
    </row>
    <row r="52" spans="1:13" ht="13.5" hidden="1" thickBot="1">
      <c r="E52" s="28">
        <f>SUM(E50:E51)</f>
        <v>249533327.92000002</v>
      </c>
      <c r="F52" s="195"/>
      <c r="G52" s="28">
        <f>G48</f>
        <v>227327033</v>
      </c>
      <c r="H52" s="195"/>
      <c r="I52" s="28">
        <f>E52-G52</f>
        <v>22206294.920000017</v>
      </c>
      <c r="J52" s="195"/>
    </row>
    <row r="53" spans="1:13" hidden="1"/>
    <row r="54" spans="1:13" hidden="1"/>
    <row r="55" spans="1:13" hidden="1">
      <c r="A55" s="21" t="s">
        <v>289</v>
      </c>
      <c r="B55" s="34"/>
    </row>
    <row r="56" spans="1:13" hidden="1">
      <c r="A56" s="22" t="s">
        <v>304</v>
      </c>
      <c r="B56" s="23"/>
    </row>
    <row r="57" spans="1:13" hidden="1">
      <c r="A57" s="14" t="s">
        <v>397</v>
      </c>
      <c r="E57" s="19">
        <v>89721994</v>
      </c>
      <c r="F57" s="195"/>
    </row>
    <row r="58" spans="1:13" hidden="1">
      <c r="A58" s="14" t="s">
        <v>398</v>
      </c>
      <c r="E58" s="19">
        <v>-35628738</v>
      </c>
      <c r="F58" s="195"/>
    </row>
    <row r="59" spans="1:13" hidden="1">
      <c r="A59" s="14" t="s">
        <v>399</v>
      </c>
      <c r="E59" s="19">
        <v>-2350000</v>
      </c>
      <c r="F59" s="195"/>
    </row>
    <row r="60" spans="1:13" ht="13.5" hidden="1" thickBot="1">
      <c r="E60" s="28">
        <f>SUM(E57:E59)</f>
        <v>51743256</v>
      </c>
      <c r="F60" s="195"/>
    </row>
    <row r="61" spans="1:13" hidden="1">
      <c r="E61" s="19"/>
      <c r="F61" s="195"/>
    </row>
    <row r="62" spans="1:13">
      <c r="E62" s="19"/>
      <c r="F62" s="195"/>
    </row>
    <row r="63" spans="1:13">
      <c r="A63" s="16" t="s">
        <v>197</v>
      </c>
      <c r="B63" s="17"/>
      <c r="C63" s="19"/>
      <c r="D63" s="195"/>
      <c r="E63" s="19"/>
      <c r="F63" s="195"/>
      <c r="G63" s="19"/>
      <c r="H63" s="195"/>
      <c r="I63" s="19"/>
      <c r="J63" s="195"/>
      <c r="K63" s="19"/>
      <c r="L63" s="195"/>
      <c r="M63" s="19"/>
    </row>
    <row r="64" spans="1:13">
      <c r="C64" s="19"/>
      <c r="D64" s="195"/>
      <c r="E64" s="19"/>
      <c r="F64" s="195"/>
      <c r="G64" s="19"/>
      <c r="H64" s="195"/>
      <c r="I64" s="19"/>
      <c r="J64" s="195"/>
      <c r="K64" s="19"/>
      <c r="L64" s="195"/>
      <c r="M64" s="19"/>
    </row>
    <row r="65" spans="1:13">
      <c r="A65" s="16"/>
      <c r="B65" s="17"/>
      <c r="C65" s="168"/>
      <c r="D65" s="170"/>
      <c r="E65" s="168"/>
      <c r="F65" s="170"/>
      <c r="G65" s="168"/>
      <c r="H65" s="170"/>
      <c r="I65" s="168"/>
      <c r="J65" s="170"/>
      <c r="K65" s="168"/>
      <c r="L65" s="170"/>
      <c r="M65" s="168"/>
    </row>
    <row r="66" spans="1:13">
      <c r="A66" s="14" t="s">
        <v>198</v>
      </c>
      <c r="C66" s="369">
        <f>C22</f>
        <v>91636636.799999997</v>
      </c>
      <c r="D66" s="369"/>
      <c r="E66" s="369">
        <f>E22</f>
        <v>17095301.079999998</v>
      </c>
      <c r="F66" s="369"/>
      <c r="G66" s="369">
        <f>G22</f>
        <v>9082752</v>
      </c>
      <c r="H66" s="369"/>
      <c r="I66" s="369">
        <f>I22</f>
        <v>399782421.57000005</v>
      </c>
      <c r="J66" s="369"/>
      <c r="K66" s="369">
        <f>K22</f>
        <v>17595755.900000006</v>
      </c>
      <c r="L66" s="369"/>
      <c r="M66" s="369">
        <f>M22</f>
        <v>535192867.35000002</v>
      </c>
    </row>
    <row r="67" spans="1:13">
      <c r="C67" s="369"/>
      <c r="D67" s="369"/>
      <c r="E67" s="369"/>
      <c r="F67" s="369"/>
      <c r="G67" s="369"/>
      <c r="H67" s="369"/>
      <c r="I67" s="369"/>
      <c r="J67" s="369"/>
      <c r="K67" s="369"/>
      <c r="L67" s="369"/>
      <c r="M67" s="369"/>
    </row>
    <row r="68" spans="1:13">
      <c r="A68" s="14" t="s">
        <v>180</v>
      </c>
      <c r="C68" s="168">
        <v>0</v>
      </c>
      <c r="D68" s="170"/>
      <c r="E68" s="168">
        <v>0</v>
      </c>
      <c r="F68" s="170"/>
      <c r="G68" s="168">
        <v>0</v>
      </c>
      <c r="H68" s="170"/>
      <c r="I68" s="168">
        <v>57752808.140000001</v>
      </c>
      <c r="J68" s="170"/>
      <c r="K68" s="168">
        <v>-57752808.140000001</v>
      </c>
      <c r="L68" s="170"/>
      <c r="M68" s="168">
        <f t="shared" ref="M68:M75" si="2">SUM(C68:K68)</f>
        <v>0</v>
      </c>
    </row>
    <row r="69" spans="1:13" ht="25.5" hidden="1">
      <c r="A69" s="246" t="s">
        <v>92</v>
      </c>
      <c r="C69" s="168">
        <v>0</v>
      </c>
      <c r="D69" s="170"/>
      <c r="E69" s="168">
        <v>0</v>
      </c>
      <c r="F69" s="170"/>
      <c r="G69" s="168">
        <v>0</v>
      </c>
      <c r="H69" s="170"/>
      <c r="I69" s="168">
        <v>0</v>
      </c>
      <c r="J69" s="170"/>
      <c r="K69" s="168">
        <v>0</v>
      </c>
      <c r="L69" s="170"/>
      <c r="M69" s="168">
        <v>0</v>
      </c>
    </row>
    <row r="70" spans="1:13">
      <c r="A70" s="14" t="s">
        <v>179</v>
      </c>
      <c r="C70" s="168">
        <v>61091091.200000003</v>
      </c>
      <c r="D70" s="170"/>
      <c r="E70" s="168">
        <v>0</v>
      </c>
      <c r="F70" s="170"/>
      <c r="G70" s="168">
        <v>6055168</v>
      </c>
      <c r="H70" s="170"/>
      <c r="I70" s="168">
        <f>-67146259.2</f>
        <v>-67146259.200000003</v>
      </c>
      <c r="J70" s="170"/>
      <c r="K70" s="168">
        <v>0</v>
      </c>
      <c r="L70" s="170"/>
      <c r="M70" s="168">
        <f t="shared" si="2"/>
        <v>0</v>
      </c>
    </row>
    <row r="71" spans="1:13">
      <c r="A71" s="14" t="s">
        <v>285</v>
      </c>
      <c r="B71" s="18">
        <v>22</v>
      </c>
      <c r="C71" s="168">
        <v>0</v>
      </c>
      <c r="D71" s="170"/>
      <c r="E71" s="168">
        <v>0</v>
      </c>
      <c r="F71" s="170"/>
      <c r="G71" s="168">
        <v>0</v>
      </c>
      <c r="H71" s="170"/>
      <c r="I71" s="168">
        <v>3349619.49</v>
      </c>
      <c r="J71" s="170"/>
      <c r="K71" s="168">
        <v>0</v>
      </c>
      <c r="L71" s="170"/>
      <c r="M71" s="168">
        <f t="shared" si="2"/>
        <v>3349619.49</v>
      </c>
    </row>
    <row r="72" spans="1:13">
      <c r="A72" s="14" t="s">
        <v>274</v>
      </c>
      <c r="B72" s="18">
        <v>19</v>
      </c>
      <c r="C72" s="168">
        <v>0</v>
      </c>
      <c r="D72" s="170"/>
      <c r="E72" s="168">
        <v>0</v>
      </c>
      <c r="F72" s="170"/>
      <c r="G72" s="168">
        <v>0</v>
      </c>
      <c r="H72" s="170"/>
      <c r="I72" s="168">
        <v>-1071878.24</v>
      </c>
      <c r="J72" s="170"/>
      <c r="K72" s="168">
        <v>0</v>
      </c>
      <c r="L72" s="170"/>
      <c r="M72" s="168">
        <f t="shared" si="2"/>
        <v>-1071878.24</v>
      </c>
    </row>
    <row r="73" spans="1:13">
      <c r="A73" s="14" t="s">
        <v>286</v>
      </c>
      <c r="B73" s="18">
        <v>7</v>
      </c>
      <c r="C73" s="168">
        <v>0</v>
      </c>
      <c r="D73" s="170"/>
      <c r="E73" s="168">
        <v>0</v>
      </c>
      <c r="F73" s="170"/>
      <c r="G73" s="168">
        <v>0</v>
      </c>
      <c r="H73" s="170"/>
      <c r="I73" s="168">
        <v>0</v>
      </c>
      <c r="J73" s="170"/>
      <c r="K73" s="168">
        <v>-43747196.479999997</v>
      </c>
      <c r="L73" s="170"/>
      <c r="M73" s="168">
        <f t="shared" si="2"/>
        <v>-43747196.479999997</v>
      </c>
    </row>
    <row r="74" spans="1:13">
      <c r="A74" s="14" t="s">
        <v>365</v>
      </c>
      <c r="C74" s="168">
        <v>0</v>
      </c>
      <c r="D74" s="170"/>
      <c r="E74" s="168">
        <v>0</v>
      </c>
      <c r="F74" s="170"/>
      <c r="G74" s="168">
        <v>0</v>
      </c>
      <c r="H74" s="170"/>
      <c r="I74" s="168">
        <v>0</v>
      </c>
      <c r="J74" s="170"/>
      <c r="K74" s="168">
        <v>104349250.56999999</v>
      </c>
      <c r="L74" s="170"/>
      <c r="M74" s="168">
        <f t="shared" si="2"/>
        <v>104349250.56999999</v>
      </c>
    </row>
    <row r="75" spans="1:13">
      <c r="A75" s="14" t="s">
        <v>288</v>
      </c>
      <c r="B75" s="18">
        <v>24</v>
      </c>
      <c r="C75" s="169">
        <v>392800</v>
      </c>
      <c r="D75" s="170"/>
      <c r="E75" s="169">
        <v>2490352</v>
      </c>
      <c r="F75" s="170"/>
      <c r="G75" s="169">
        <v>0</v>
      </c>
      <c r="H75" s="170"/>
      <c r="I75" s="169">
        <v>0</v>
      </c>
      <c r="J75" s="170"/>
      <c r="K75" s="169">
        <v>0</v>
      </c>
      <c r="L75" s="170"/>
      <c r="M75" s="169">
        <f t="shared" si="2"/>
        <v>2883152</v>
      </c>
    </row>
    <row r="76" spans="1:13">
      <c r="C76" s="168"/>
      <c r="D76" s="170"/>
      <c r="E76" s="168"/>
      <c r="F76" s="170"/>
      <c r="G76" s="168"/>
      <c r="H76" s="170"/>
      <c r="I76" s="168"/>
      <c r="J76" s="170"/>
      <c r="K76" s="168"/>
      <c r="L76" s="170"/>
      <c r="M76" s="168"/>
    </row>
    <row r="77" spans="1:13" ht="13.5" thickBot="1">
      <c r="A77" s="16" t="s">
        <v>199</v>
      </c>
      <c r="B77" s="17"/>
      <c r="C77" s="171">
        <f>SUM(C66:C75)</f>
        <v>153120528</v>
      </c>
      <c r="D77" s="197"/>
      <c r="E77" s="171">
        <f>SUM(E66:E75)</f>
        <v>19585653.079999998</v>
      </c>
      <c r="F77" s="197"/>
      <c r="G77" s="171">
        <f>SUM(G66:G75)</f>
        <v>15137920</v>
      </c>
      <c r="H77" s="197"/>
      <c r="I77" s="171">
        <f>SUM(I66:I75)</f>
        <v>392666711.76000005</v>
      </c>
      <c r="J77" s="197"/>
      <c r="K77" s="171">
        <f>SUM(K66:K75)</f>
        <v>20445001.849999994</v>
      </c>
      <c r="L77" s="197"/>
      <c r="M77" s="171">
        <f>SUM(M66:M75)</f>
        <v>600955814.69000006</v>
      </c>
    </row>
  </sheetData>
  <mergeCells count="2">
    <mergeCell ref="A2:I2"/>
    <mergeCell ref="A3:I3"/>
  </mergeCells>
  <phoneticPr fontId="8" type="noConversion"/>
  <printOptions horizontalCentered="1"/>
  <pageMargins left="0.73619999999999997" right="0" top="0.98419999999999996" bottom="0.16" header="0.433" footer="0"/>
  <pageSetup paperSize="9" scale="81" orientation="landscape" r:id="rId1"/>
  <headerFooter alignWithMargins="0">
    <oddFooter>&amp;L&amp;"Times New Roman Greek,Italic"&amp;11Draft for discussion purposes only&amp;R4</oddFooter>
  </headerFooter>
  <ignoredErrors>
    <ignoredError sqref="M71:M75 M16:M20" formulaRange="1"/>
  </ignoredErrors>
</worksheet>
</file>

<file path=xl/worksheets/sheet4.xml><?xml version="1.0" encoding="utf-8"?>
<worksheet xmlns="http://schemas.openxmlformats.org/spreadsheetml/2006/main" xmlns:r="http://schemas.openxmlformats.org/officeDocument/2006/relationships">
  <sheetPr enableFormatConditionsCalculation="0">
    <tabColor indexed="14"/>
    <pageSetUpPr fitToPage="1"/>
  </sheetPr>
  <dimension ref="A3:I20"/>
  <sheetViews>
    <sheetView showGridLines="0" zoomScaleNormal="100" workbookViewId="0">
      <selection activeCell="A3" sqref="A3:I19"/>
    </sheetView>
  </sheetViews>
  <sheetFormatPr defaultColWidth="10.6640625" defaultRowHeight="15"/>
  <cols>
    <col min="1" max="1" width="5.33203125" style="6" customWidth="1"/>
    <col min="2" max="2" width="43.5" style="7" customWidth="1"/>
    <col min="3" max="3" width="18.1640625" style="7" bestFit="1" customWidth="1"/>
    <col min="4" max="4" width="4.33203125" style="7" customWidth="1"/>
    <col min="5" max="5" width="18.1640625" style="7" bestFit="1" customWidth="1"/>
    <col min="6" max="6" width="4.33203125" style="7" customWidth="1"/>
    <col min="7" max="7" width="16.6640625" style="9" bestFit="1" customWidth="1"/>
    <col min="8" max="8" width="2" style="9" customWidth="1"/>
    <col min="9" max="9" width="16.6640625" style="6" bestFit="1" customWidth="1"/>
    <col min="10" max="16384" width="10.6640625" style="6"/>
  </cols>
  <sheetData>
    <row r="3" spans="1:9" ht="20.25">
      <c r="A3" s="324">
        <v>4</v>
      </c>
      <c r="B3" s="321" t="s">
        <v>89</v>
      </c>
      <c r="C3" s="3"/>
      <c r="D3" s="3"/>
      <c r="E3" s="3"/>
      <c r="F3" s="3"/>
      <c r="G3" s="6"/>
      <c r="H3" s="191"/>
    </row>
    <row r="4" spans="1:9" ht="18.75">
      <c r="A4" s="5"/>
      <c r="B4" s="3"/>
      <c r="C4" s="3"/>
      <c r="D4" s="3"/>
      <c r="E4" s="3"/>
      <c r="F4" s="3"/>
      <c r="G4" s="6"/>
      <c r="H4" s="191"/>
    </row>
    <row r="5" spans="1:9" ht="18.75">
      <c r="A5" s="5"/>
      <c r="B5" s="3"/>
      <c r="C5" s="3"/>
      <c r="D5" s="3"/>
      <c r="E5" s="3"/>
      <c r="F5" s="3"/>
      <c r="G5" s="6"/>
      <c r="H5" s="191"/>
    </row>
    <row r="6" spans="1:9" ht="18.75">
      <c r="A6" s="5"/>
      <c r="B6" s="3"/>
      <c r="C6" s="630" t="s">
        <v>1</v>
      </c>
      <c r="D6" s="630"/>
      <c r="E6" s="630"/>
      <c r="F6" s="172"/>
      <c r="G6" s="630" t="s">
        <v>2</v>
      </c>
      <c r="H6" s="631"/>
      <c r="I6" s="631"/>
    </row>
    <row r="7" spans="1:9" ht="18.75">
      <c r="A7" s="5"/>
      <c r="B7" s="3"/>
      <c r="C7" s="322">
        <v>2002</v>
      </c>
      <c r="D7" s="172"/>
      <c r="E7" s="322">
        <v>2001</v>
      </c>
      <c r="F7" s="172"/>
      <c r="G7" s="322">
        <v>2002</v>
      </c>
      <c r="H7" s="323"/>
      <c r="I7" s="322">
        <v>2001</v>
      </c>
    </row>
    <row r="8" spans="1:9" ht="18.75">
      <c r="A8" s="5"/>
      <c r="B8" s="3"/>
      <c r="C8" s="245" t="s">
        <v>378</v>
      </c>
      <c r="D8" s="244"/>
      <c r="E8" s="245" t="s">
        <v>378</v>
      </c>
      <c r="F8" s="244"/>
      <c r="G8" s="245" t="s">
        <v>378</v>
      </c>
      <c r="H8" s="173"/>
      <c r="I8" s="245" t="s">
        <v>378</v>
      </c>
    </row>
    <row r="9" spans="1:9">
      <c r="G9" s="174"/>
      <c r="H9" s="174"/>
      <c r="I9" s="175"/>
    </row>
    <row r="10" spans="1:9" s="8" customFormat="1" ht="15.75">
      <c r="A10" s="6"/>
      <c r="B10" s="325" t="s">
        <v>90</v>
      </c>
      <c r="C10" s="326">
        <v>192207990.33000001</v>
      </c>
      <c r="D10" s="326"/>
      <c r="E10" s="326">
        <v>180696523.37</v>
      </c>
      <c r="F10" s="325"/>
      <c r="G10" s="327">
        <v>39047953.969999999</v>
      </c>
      <c r="H10" s="327"/>
      <c r="I10" s="327">
        <v>37152575.350000001</v>
      </c>
    </row>
    <row r="11" spans="1:9" ht="15.75">
      <c r="B11" s="325" t="s">
        <v>68</v>
      </c>
      <c r="C11" s="326">
        <v>21254126.219999999</v>
      </c>
      <c r="D11" s="326"/>
      <c r="E11" s="326">
        <v>20202297.329999998</v>
      </c>
      <c r="F11" s="325"/>
      <c r="G11" s="327">
        <v>8559871.6199999992</v>
      </c>
      <c r="H11" s="327"/>
      <c r="I11" s="327">
        <v>8555363.1199999992</v>
      </c>
    </row>
    <row r="12" spans="1:9" ht="15.75">
      <c r="A12" s="8"/>
      <c r="B12" s="328" t="s">
        <v>110</v>
      </c>
      <c r="C12" s="329">
        <v>9054241.8399999999</v>
      </c>
      <c r="D12" s="329"/>
      <c r="E12" s="329">
        <v>4980198.96</v>
      </c>
      <c r="F12" s="328"/>
      <c r="G12" s="330">
        <v>2979353.54</v>
      </c>
      <c r="H12" s="330"/>
      <c r="I12" s="330">
        <v>4399547.34</v>
      </c>
    </row>
    <row r="13" spans="1:9" ht="15.75">
      <c r="B13" s="331"/>
      <c r="C13" s="332">
        <f>SUM(C10:C12)</f>
        <v>222516358.39000002</v>
      </c>
      <c r="D13" s="333"/>
      <c r="E13" s="332">
        <f>SUM(E10:E12)</f>
        <v>205879019.66</v>
      </c>
      <c r="F13" s="331"/>
      <c r="G13" s="334">
        <f>SUM(G10:G12)</f>
        <v>50587179.129999995</v>
      </c>
      <c r="H13" s="327"/>
      <c r="I13" s="334">
        <f>SUM(I10:I12)</f>
        <v>50107485.810000002</v>
      </c>
    </row>
    <row r="14" spans="1:9" ht="15.75">
      <c r="B14" s="325"/>
      <c r="C14" s="325"/>
      <c r="D14" s="325"/>
      <c r="E14" s="325"/>
      <c r="F14" s="325"/>
      <c r="G14" s="335"/>
      <c r="H14" s="335"/>
      <c r="I14" s="336"/>
    </row>
    <row r="15" spans="1:9" ht="15.75">
      <c r="B15" s="325"/>
      <c r="C15" s="325"/>
      <c r="D15" s="325"/>
      <c r="E15" s="325"/>
      <c r="F15" s="325"/>
      <c r="G15" s="335"/>
      <c r="H15" s="335"/>
      <c r="I15" s="336"/>
    </row>
    <row r="16" spans="1:9" ht="30" customHeight="1">
      <c r="B16" s="629" t="s">
        <v>4</v>
      </c>
      <c r="C16" s="629"/>
      <c r="D16" s="629"/>
      <c r="E16" s="629"/>
      <c r="F16" s="629"/>
      <c r="G16" s="629"/>
      <c r="H16" s="629"/>
      <c r="I16" s="629"/>
    </row>
    <row r="17" spans="2:9" ht="15.75">
      <c r="B17" s="337" t="s">
        <v>357</v>
      </c>
      <c r="C17" s="338">
        <v>1961</v>
      </c>
      <c r="D17" s="339"/>
      <c r="E17" s="338">
        <v>2020</v>
      </c>
      <c r="F17" s="337"/>
      <c r="G17" s="340">
        <v>1217</v>
      </c>
      <c r="H17" s="341"/>
      <c r="I17" s="340">
        <v>1231</v>
      </c>
    </row>
    <row r="18" spans="2:9" ht="15.75">
      <c r="B18" s="325" t="s">
        <v>3</v>
      </c>
      <c r="C18" s="338">
        <v>2948</v>
      </c>
      <c r="D18" s="339"/>
      <c r="E18" s="338">
        <v>2736</v>
      </c>
      <c r="F18" s="337"/>
      <c r="G18" s="342">
        <v>0</v>
      </c>
      <c r="H18" s="342"/>
      <c r="I18" s="342">
        <v>0</v>
      </c>
    </row>
    <row r="19" spans="2:9" ht="16.5" thickBot="1">
      <c r="B19" s="325"/>
      <c r="C19" s="343">
        <v>4909</v>
      </c>
      <c r="D19" s="344"/>
      <c r="E19" s="343">
        <v>4756</v>
      </c>
      <c r="F19" s="325"/>
      <c r="G19" s="345">
        <f>SUM(G17:G18)</f>
        <v>1217</v>
      </c>
      <c r="H19" s="346"/>
      <c r="I19" s="347">
        <f>SUM(I17:I18)</f>
        <v>1231</v>
      </c>
    </row>
    <row r="20" spans="2:9" ht="15.75" thickTop="1"/>
  </sheetData>
  <customSheetViews>
    <customSheetView guid="{FEB6A96D-6D61-4258-8225-865A529D5565}" showGridLines="0" fitToPage="1" hiddenRows="1" showRuler="0">
      <selection activeCell="C20" sqref="C20"/>
      <pageMargins left="0.23622047244094491" right="0" top="0.98425196850393704" bottom="0.16"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3">
    <mergeCell ref="B16:I16"/>
    <mergeCell ref="C6:E6"/>
    <mergeCell ref="G6:I6"/>
  </mergeCells>
  <phoneticPr fontId="0" type="noConversion"/>
  <printOptions horizontalCentered="1"/>
  <pageMargins left="0.73619999999999997" right="0" top="0.98419999999999996" bottom="0.16" header="0.433" footer="0"/>
  <pageSetup paperSize="9" scale="74" orientation="portrait" draft="1" r:id="rId2"/>
  <headerFooter alignWithMargins="0">
    <oddHeader>&amp;L&amp;14Notes to the annual financial statements for the year ended 31 December 2002</oddHeader>
    <oddFooter>&amp;L&amp;"Times New Roman Greek,Italic"&amp;11Draft for discussion purposes only&amp;R25</oddFooter>
  </headerFooter>
</worksheet>
</file>

<file path=xl/worksheets/sheet5.xml><?xml version="1.0" encoding="utf-8"?>
<worksheet xmlns="http://schemas.openxmlformats.org/spreadsheetml/2006/main" xmlns:r="http://schemas.openxmlformats.org/officeDocument/2006/relationships">
  <sheetPr enableFormatConditionsCalculation="0">
    <tabColor indexed="27"/>
    <pageSetUpPr fitToPage="1"/>
  </sheetPr>
  <dimension ref="A2:T118"/>
  <sheetViews>
    <sheetView topLeftCell="C4" zoomScale="75" zoomScaleNormal="100" zoomScaleSheetLayoutView="100" workbookViewId="0">
      <selection activeCell="U44" sqref="U44:V44"/>
    </sheetView>
  </sheetViews>
  <sheetFormatPr defaultColWidth="10.6640625" defaultRowHeight="12.75"/>
  <cols>
    <col min="1" max="1" width="7.33203125" style="58" bestFit="1" customWidth="1"/>
    <col min="2" max="2" width="52.6640625" style="58" customWidth="1"/>
    <col min="3" max="3" width="0.83203125" style="58" customWidth="1"/>
    <col min="4" max="4" width="15" style="58" customWidth="1"/>
    <col min="5" max="5" width="0.83203125" style="58" customWidth="1"/>
    <col min="6" max="6" width="15.33203125" style="58" customWidth="1"/>
    <col min="7" max="7" width="0.5" style="58" customWidth="1"/>
    <col min="8" max="8" width="18.5" style="58" customWidth="1"/>
    <col min="9" max="9" width="2.1640625" style="58" hidden="1" customWidth="1"/>
    <col min="10" max="10" width="0.83203125" style="60" customWidth="1"/>
    <col min="11" max="11" width="18.5" style="58" customWidth="1"/>
    <col min="12" max="12" width="0.5" style="58" customWidth="1"/>
    <col min="13" max="13" width="17" style="58" customWidth="1"/>
    <col min="14" max="14" width="0.83203125" style="58" customWidth="1"/>
    <col min="15" max="15" width="18.83203125" style="58" bestFit="1" customWidth="1"/>
    <col min="16" max="16" width="0.5" style="58" customWidth="1"/>
    <col min="17" max="17" width="18.6640625" style="58" bestFit="1" customWidth="1"/>
    <col min="18" max="18" width="0.6640625" style="58" customWidth="1"/>
    <col min="19" max="19" width="19.83203125" style="58" customWidth="1"/>
    <col min="20" max="20" width="9.6640625" style="58" customWidth="1"/>
    <col min="21" max="21" width="14.33203125" style="58" bestFit="1" customWidth="1"/>
    <col min="22" max="16384" width="10.6640625" style="58"/>
  </cols>
  <sheetData>
    <row r="2" spans="1:19" ht="12.75" customHeight="1">
      <c r="B2" s="59"/>
      <c r="C2" s="59"/>
    </row>
    <row r="3" spans="1:19" ht="12.75" customHeight="1">
      <c r="A3" s="61"/>
      <c r="B3" s="62"/>
      <c r="C3" s="62"/>
    </row>
    <row r="4" spans="1:19" ht="20.25">
      <c r="A4" s="349">
        <v>8</v>
      </c>
      <c r="B4" s="319" t="s">
        <v>265</v>
      </c>
      <c r="C4" s="63"/>
    </row>
    <row r="5" spans="1:19" ht="19.5">
      <c r="A5" s="60"/>
      <c r="B5" s="64"/>
      <c r="C5" s="64"/>
    </row>
    <row r="6" spans="1:19" s="84" customFormat="1" ht="93.75" customHeight="1">
      <c r="A6" s="79"/>
      <c r="B6" s="207" t="s">
        <v>2</v>
      </c>
      <c r="C6" s="79"/>
      <c r="D6" s="350" t="s">
        <v>70</v>
      </c>
      <c r="E6" s="351"/>
      <c r="F6" s="350" t="s">
        <v>71</v>
      </c>
      <c r="G6" s="351"/>
      <c r="H6" s="350" t="s">
        <v>72</v>
      </c>
      <c r="I6" s="351" t="s">
        <v>249</v>
      </c>
      <c r="J6" s="351"/>
      <c r="K6" s="350" t="s">
        <v>266</v>
      </c>
      <c r="L6" s="351"/>
      <c r="M6" s="350" t="s">
        <v>267</v>
      </c>
      <c r="N6" s="351"/>
      <c r="O6" s="350" t="s">
        <v>268</v>
      </c>
      <c r="P6" s="350"/>
      <c r="Q6" s="350" t="s">
        <v>271</v>
      </c>
      <c r="R6" s="351"/>
      <c r="S6" s="350" t="s">
        <v>269</v>
      </c>
    </row>
    <row r="7" spans="1:19" s="84" customFormat="1" ht="29.25" customHeight="1">
      <c r="A7" s="79"/>
      <c r="B7" s="207"/>
      <c r="C7" s="79"/>
      <c r="D7" s="83" t="s">
        <v>378</v>
      </c>
      <c r="E7" s="82"/>
      <c r="F7" s="83" t="s">
        <v>378</v>
      </c>
      <c r="G7" s="82"/>
      <c r="H7" s="83" t="s">
        <v>378</v>
      </c>
      <c r="I7" s="82"/>
      <c r="J7" s="82"/>
      <c r="K7" s="83" t="s">
        <v>378</v>
      </c>
      <c r="L7" s="82"/>
      <c r="M7" s="83" t="s">
        <v>378</v>
      </c>
      <c r="N7" s="82"/>
      <c r="O7" s="83" t="s">
        <v>378</v>
      </c>
      <c r="P7" s="83"/>
      <c r="Q7" s="83" t="s">
        <v>378</v>
      </c>
      <c r="R7" s="82"/>
      <c r="S7" s="83" t="s">
        <v>378</v>
      </c>
    </row>
    <row r="8" spans="1:19" s="84" customFormat="1" ht="43.5" hidden="1" customHeight="1">
      <c r="A8" s="79"/>
      <c r="B8" s="85" t="s">
        <v>281</v>
      </c>
      <c r="C8" s="79"/>
      <c r="D8" s="81"/>
      <c r="E8" s="82"/>
      <c r="F8" s="81"/>
      <c r="G8" s="82"/>
      <c r="H8" s="81"/>
      <c r="I8" s="82"/>
      <c r="J8" s="82"/>
      <c r="K8" s="81"/>
      <c r="L8" s="82"/>
      <c r="M8" s="81"/>
      <c r="N8" s="82"/>
      <c r="O8" s="81"/>
      <c r="P8" s="83"/>
      <c r="Q8" s="81"/>
      <c r="R8" s="82"/>
      <c r="S8" s="81"/>
    </row>
    <row r="9" spans="1:19" s="75" customFormat="1" ht="15.75" hidden="1">
      <c r="A9" s="85"/>
      <c r="B9" s="66" t="s">
        <v>205</v>
      </c>
      <c r="C9" s="85"/>
      <c r="D9" s="81"/>
      <c r="E9" s="81"/>
      <c r="F9" s="81"/>
      <c r="G9" s="81"/>
      <c r="H9" s="81"/>
      <c r="I9" s="81"/>
      <c r="J9" s="81"/>
      <c r="K9" s="81"/>
      <c r="L9" s="81"/>
      <c r="M9" s="81"/>
      <c r="N9" s="81"/>
      <c r="O9" s="81"/>
      <c r="P9" s="81"/>
      <c r="Q9" s="81"/>
      <c r="R9" s="81"/>
      <c r="S9" s="81"/>
    </row>
    <row r="10" spans="1:19" s="75" customFormat="1" ht="2.25" hidden="1" customHeight="1">
      <c r="A10" s="85"/>
      <c r="B10" s="85"/>
      <c r="C10" s="85"/>
      <c r="D10" s="81"/>
      <c r="E10" s="81"/>
      <c r="F10" s="81"/>
      <c r="G10" s="81"/>
      <c r="H10" s="81"/>
      <c r="I10" s="81"/>
      <c r="J10" s="81"/>
      <c r="K10" s="81"/>
      <c r="L10" s="81"/>
      <c r="M10" s="81"/>
      <c r="N10" s="81"/>
      <c r="O10" s="81"/>
      <c r="P10" s="81"/>
      <c r="Q10" s="81"/>
      <c r="R10" s="81"/>
      <c r="S10" s="81"/>
    </row>
    <row r="11" spans="1:19" s="75" customFormat="1" ht="19.5" hidden="1" customHeight="1">
      <c r="A11" s="86"/>
      <c r="B11" s="78" t="s">
        <v>206</v>
      </c>
      <c r="C11" s="78"/>
      <c r="D11" s="87">
        <f>838133.74-351687.82</f>
        <v>486445.92</v>
      </c>
      <c r="E11" s="87"/>
      <c r="F11" s="87">
        <v>4738450.8499999996</v>
      </c>
      <c r="G11" s="87"/>
      <c r="H11" s="87">
        <v>14582035.23</v>
      </c>
      <c r="I11" s="87"/>
      <c r="J11" s="87"/>
      <c r="K11" s="87">
        <v>77919162.579999998</v>
      </c>
      <c r="L11" s="87"/>
      <c r="M11" s="87">
        <f>5908761.93-3967879.88</f>
        <v>1940882.0499999998</v>
      </c>
      <c r="N11" s="87"/>
      <c r="O11" s="87">
        <f>10363238.02-7993005.75</f>
        <v>2370232.2699999996</v>
      </c>
      <c r="P11" s="87"/>
      <c r="Q11" s="87">
        <v>17567016.949999999</v>
      </c>
      <c r="R11" s="87"/>
      <c r="S11" s="88">
        <f t="shared" ref="S11:S19" si="0">SUM(D11:Q11)</f>
        <v>119604225.84999999</v>
      </c>
    </row>
    <row r="12" spans="1:19" s="75" customFormat="1" ht="15.75" hidden="1">
      <c r="A12" s="86"/>
      <c r="B12" s="89" t="s">
        <v>270</v>
      </c>
      <c r="C12" s="89"/>
      <c r="D12" s="87">
        <v>27879.66</v>
      </c>
      <c r="E12" s="87"/>
      <c r="F12" s="87">
        <v>291930.68</v>
      </c>
      <c r="G12" s="87"/>
      <c r="H12" s="87">
        <v>859260.88</v>
      </c>
      <c r="I12" s="87"/>
      <c r="J12" s="87"/>
      <c r="K12" s="87">
        <v>5051362.3899999997</v>
      </c>
      <c r="L12" s="87"/>
      <c r="M12" s="87">
        <v>1012516.54</v>
      </c>
      <c r="N12" s="87"/>
      <c r="O12" s="87">
        <v>3471754.1</v>
      </c>
      <c r="P12" s="87"/>
      <c r="Q12" s="87">
        <v>17104940.739999998</v>
      </c>
      <c r="R12" s="87"/>
      <c r="S12" s="88">
        <f t="shared" si="0"/>
        <v>27819644.989999998</v>
      </c>
    </row>
    <row r="13" spans="1:19" s="75" customFormat="1" ht="15.75" hidden="1">
      <c r="A13" s="86"/>
      <c r="B13" s="89" t="s">
        <v>111</v>
      </c>
      <c r="C13" s="89"/>
      <c r="D13" s="87">
        <v>0</v>
      </c>
      <c r="E13" s="87"/>
      <c r="F13" s="87">
        <v>-63080.21</v>
      </c>
      <c r="G13" s="87"/>
      <c r="H13" s="87">
        <f>-996783.63+785815.76</f>
        <v>-210967.87</v>
      </c>
      <c r="I13" s="87"/>
      <c r="J13" s="87"/>
      <c r="K13" s="87">
        <f>-1256151.96+1245241.35</f>
        <v>-10910.60999999987</v>
      </c>
      <c r="L13" s="87"/>
      <c r="M13" s="87">
        <f>-459896.01+435368.79</f>
        <v>-24527.22000000003</v>
      </c>
      <c r="N13" s="87"/>
      <c r="O13" s="87">
        <f>-252404.3+245758.6</f>
        <v>-6645.6999999999825</v>
      </c>
      <c r="P13" s="87"/>
      <c r="Q13" s="87">
        <v>0</v>
      </c>
      <c r="R13" s="87"/>
      <c r="S13" s="88">
        <f t="shared" si="0"/>
        <v>-316131.60999999987</v>
      </c>
    </row>
    <row r="14" spans="1:19" s="75" customFormat="1" ht="19.5" hidden="1" customHeight="1">
      <c r="A14" s="86"/>
      <c r="B14" s="89" t="s">
        <v>201</v>
      </c>
      <c r="C14" s="89"/>
      <c r="D14" s="87">
        <v>0</v>
      </c>
      <c r="E14" s="87"/>
      <c r="F14" s="87">
        <v>0</v>
      </c>
      <c r="G14" s="87"/>
      <c r="H14" s="87">
        <v>0</v>
      </c>
      <c r="I14" s="87">
        <v>0</v>
      </c>
      <c r="J14" s="87"/>
      <c r="K14" s="87">
        <v>0</v>
      </c>
      <c r="L14" s="87"/>
      <c r="M14" s="87">
        <v>0</v>
      </c>
      <c r="N14" s="87"/>
      <c r="O14" s="87">
        <v>0</v>
      </c>
      <c r="P14" s="87"/>
      <c r="Q14" s="87">
        <v>0</v>
      </c>
      <c r="R14" s="87"/>
      <c r="S14" s="88">
        <f t="shared" si="0"/>
        <v>0</v>
      </c>
    </row>
    <row r="15" spans="1:19" s="75" customFormat="1" ht="19.5" hidden="1" customHeight="1">
      <c r="A15" s="86"/>
      <c r="B15" s="89" t="s">
        <v>202</v>
      </c>
      <c r="C15" s="89"/>
      <c r="D15" s="87"/>
      <c r="E15" s="87"/>
      <c r="F15" s="87"/>
      <c r="G15" s="87"/>
      <c r="H15" s="87"/>
      <c r="I15" s="87"/>
      <c r="J15" s="87"/>
      <c r="K15" s="87"/>
      <c r="L15" s="87"/>
      <c r="M15" s="87"/>
      <c r="N15" s="87"/>
      <c r="O15" s="87"/>
      <c r="P15" s="87"/>
      <c r="Q15" s="87"/>
      <c r="R15" s="87"/>
      <c r="S15" s="88">
        <f t="shared" si="0"/>
        <v>0</v>
      </c>
    </row>
    <row r="16" spans="1:19" s="75" customFormat="1" ht="19.5" hidden="1" customHeight="1">
      <c r="A16" s="86"/>
      <c r="B16" s="89" t="s">
        <v>203</v>
      </c>
      <c r="C16" s="89"/>
      <c r="D16" s="87"/>
      <c r="E16" s="87"/>
      <c r="F16" s="87"/>
      <c r="G16" s="87"/>
      <c r="H16" s="87"/>
      <c r="I16" s="87"/>
      <c r="J16" s="87"/>
      <c r="K16" s="87"/>
      <c r="L16" s="87"/>
      <c r="M16" s="87"/>
      <c r="N16" s="87"/>
      <c r="O16" s="87"/>
      <c r="P16" s="87"/>
      <c r="Q16" s="87"/>
      <c r="R16" s="87"/>
      <c r="S16" s="88">
        <f t="shared" si="0"/>
        <v>0</v>
      </c>
    </row>
    <row r="17" spans="1:19" s="75" customFormat="1" ht="15.75" hidden="1">
      <c r="A17" s="86"/>
      <c r="B17" s="89" t="s">
        <v>112</v>
      </c>
      <c r="C17" s="89"/>
      <c r="D17" s="87">
        <v>0</v>
      </c>
      <c r="E17" s="87"/>
      <c r="F17" s="87">
        <v>0</v>
      </c>
      <c r="G17" s="87"/>
      <c r="H17" s="87">
        <v>0</v>
      </c>
      <c r="I17" s="87"/>
      <c r="J17" s="87"/>
      <c r="K17" s="87">
        <v>4098642.96</v>
      </c>
      <c r="L17" s="87"/>
      <c r="M17" s="87">
        <v>0</v>
      </c>
      <c r="N17" s="87"/>
      <c r="O17" s="87">
        <v>0</v>
      </c>
      <c r="P17" s="87"/>
      <c r="Q17" s="87">
        <v>0</v>
      </c>
      <c r="R17" s="87"/>
      <c r="S17" s="88">
        <f t="shared" si="0"/>
        <v>4098642.96</v>
      </c>
    </row>
    <row r="18" spans="1:19" s="75" customFormat="1" ht="19.5" hidden="1" customHeight="1">
      <c r="A18" s="86"/>
      <c r="B18" s="89" t="s">
        <v>204</v>
      </c>
      <c r="C18" s="89"/>
      <c r="D18" s="87"/>
      <c r="E18" s="87"/>
      <c r="F18" s="87"/>
      <c r="G18" s="87"/>
      <c r="H18" s="87"/>
      <c r="I18" s="87"/>
      <c r="J18" s="87"/>
      <c r="K18" s="87"/>
      <c r="L18" s="87"/>
      <c r="M18" s="87"/>
      <c r="N18" s="87"/>
      <c r="O18" s="87"/>
      <c r="P18" s="87"/>
      <c r="Q18" s="87"/>
      <c r="R18" s="87"/>
      <c r="S18" s="88">
        <f t="shared" si="0"/>
        <v>0</v>
      </c>
    </row>
    <row r="19" spans="1:19" s="75" customFormat="1" ht="15.75" hidden="1">
      <c r="A19" s="86"/>
      <c r="B19" s="89" t="s">
        <v>113</v>
      </c>
      <c r="C19" s="89"/>
      <c r="D19" s="90">
        <v>-19208.419999999998</v>
      </c>
      <c r="E19" s="87"/>
      <c r="F19" s="90">
        <v>0</v>
      </c>
      <c r="G19" s="87"/>
      <c r="H19" s="90">
        <v>-853650.96</v>
      </c>
      <c r="I19" s="87"/>
      <c r="J19" s="87"/>
      <c r="K19" s="90">
        <v>-5919044.2199999997</v>
      </c>
      <c r="L19" s="87"/>
      <c r="M19" s="90">
        <v>-678081.78</v>
      </c>
      <c r="N19" s="87"/>
      <c r="O19" s="90">
        <v>-575728.79</v>
      </c>
      <c r="P19" s="87"/>
      <c r="Q19" s="90">
        <v>0</v>
      </c>
      <c r="R19" s="87"/>
      <c r="S19" s="91">
        <f t="shared" si="0"/>
        <v>-8045714.1699999999</v>
      </c>
    </row>
    <row r="20" spans="1:19" s="75" customFormat="1" ht="19.5" hidden="1" customHeight="1" thickBot="1">
      <c r="A20" s="86"/>
      <c r="B20" s="78" t="s">
        <v>207</v>
      </c>
      <c r="C20" s="78"/>
      <c r="D20" s="92">
        <f>SUM(D11:D19)</f>
        <v>495117.16</v>
      </c>
      <c r="E20" s="93"/>
      <c r="F20" s="92">
        <f>SUM(F11:F19)</f>
        <v>4967301.3199999994</v>
      </c>
      <c r="G20" s="93"/>
      <c r="H20" s="92">
        <f>SUM(H11:H19)</f>
        <v>14376677.280000001</v>
      </c>
      <c r="I20" s="93">
        <f>SUM(I11:I19)</f>
        <v>0</v>
      </c>
      <c r="J20" s="93"/>
      <c r="K20" s="92">
        <f>SUM(K11:K19)</f>
        <v>81139213.099999994</v>
      </c>
      <c r="L20" s="93"/>
      <c r="M20" s="92">
        <f>SUM(M11:M19)</f>
        <v>2250789.59</v>
      </c>
      <c r="N20" s="93"/>
      <c r="O20" s="92">
        <f>SUM(O11:O19)</f>
        <v>5259611.879999999</v>
      </c>
      <c r="P20" s="93"/>
      <c r="Q20" s="92">
        <f>SUM(Q11:Q19)</f>
        <v>34671957.689999998</v>
      </c>
      <c r="R20" s="93"/>
      <c r="S20" s="92">
        <f>SUM(S11:S19)</f>
        <v>143160668.02000001</v>
      </c>
    </row>
    <row r="21" spans="1:19" s="75" customFormat="1" ht="16.5" hidden="1" thickTop="1">
      <c r="A21" s="86"/>
      <c r="B21" s="78"/>
      <c r="C21" s="78"/>
      <c r="D21" s="93"/>
      <c r="E21" s="93"/>
      <c r="F21" s="93"/>
      <c r="G21" s="93"/>
      <c r="H21" s="93"/>
      <c r="I21" s="93"/>
      <c r="J21" s="93"/>
      <c r="K21" s="93"/>
      <c r="L21" s="93"/>
      <c r="M21" s="93"/>
      <c r="N21" s="93"/>
      <c r="O21" s="93"/>
      <c r="P21" s="93"/>
      <c r="Q21" s="93"/>
      <c r="R21" s="93"/>
      <c r="S21" s="88"/>
    </row>
    <row r="22" spans="1:19" s="84" customFormat="1" ht="15.75" hidden="1">
      <c r="A22" s="79"/>
      <c r="B22" s="80"/>
      <c r="C22" s="79"/>
      <c r="D22" s="83"/>
      <c r="E22" s="82"/>
      <c r="F22" s="83"/>
      <c r="G22" s="82"/>
      <c r="H22" s="83"/>
      <c r="I22" s="82"/>
      <c r="J22" s="82"/>
      <c r="K22" s="83"/>
      <c r="L22" s="82"/>
      <c r="M22" s="83"/>
      <c r="N22" s="82"/>
      <c r="O22" s="83"/>
      <c r="P22" s="83"/>
      <c r="Q22" s="83"/>
      <c r="R22" s="82"/>
      <c r="S22" s="94"/>
    </row>
    <row r="23" spans="1:19" s="75" customFormat="1" ht="15.75" hidden="1">
      <c r="A23" s="85"/>
      <c r="B23" s="66" t="s">
        <v>91</v>
      </c>
      <c r="C23" s="85"/>
      <c r="D23" s="81"/>
      <c r="E23" s="81"/>
      <c r="F23" s="81"/>
      <c r="G23" s="81"/>
      <c r="H23" s="81"/>
      <c r="I23" s="81"/>
      <c r="J23" s="81"/>
      <c r="K23" s="81"/>
      <c r="L23" s="81"/>
      <c r="M23" s="81"/>
      <c r="N23" s="81"/>
      <c r="O23" s="81"/>
      <c r="P23" s="81"/>
      <c r="Q23" s="81"/>
      <c r="R23" s="81"/>
      <c r="S23" s="95"/>
    </row>
    <row r="24" spans="1:19" s="75" customFormat="1" ht="2.25" hidden="1" customHeight="1">
      <c r="A24" s="85"/>
      <c r="B24" s="85"/>
      <c r="C24" s="85"/>
      <c r="D24" s="81"/>
      <c r="E24" s="81"/>
      <c r="F24" s="81"/>
      <c r="G24" s="81"/>
      <c r="H24" s="81"/>
      <c r="I24" s="81"/>
      <c r="J24" s="81"/>
      <c r="K24" s="81"/>
      <c r="L24" s="81"/>
      <c r="M24" s="81"/>
      <c r="N24" s="81"/>
      <c r="O24" s="81"/>
      <c r="P24" s="81"/>
      <c r="Q24" s="81"/>
      <c r="R24" s="81"/>
      <c r="S24" s="95"/>
    </row>
    <row r="25" spans="1:19" s="75" customFormat="1" ht="25.5" hidden="1" customHeight="1">
      <c r="A25" s="86"/>
      <c r="B25" s="78" t="s">
        <v>208</v>
      </c>
      <c r="C25" s="78"/>
      <c r="D25" s="87">
        <v>0</v>
      </c>
      <c r="E25" s="87"/>
      <c r="F25" s="87">
        <v>0</v>
      </c>
      <c r="G25" s="87"/>
      <c r="H25" s="87">
        <v>0</v>
      </c>
      <c r="I25" s="87"/>
      <c r="J25" s="87"/>
      <c r="K25" s="87">
        <v>0</v>
      </c>
      <c r="L25" s="87"/>
      <c r="M25" s="87">
        <v>1454955.27</v>
      </c>
      <c r="N25" s="87"/>
      <c r="O25" s="87">
        <v>0</v>
      </c>
      <c r="P25" s="87"/>
      <c r="Q25" s="87">
        <v>0</v>
      </c>
      <c r="R25" s="87"/>
      <c r="S25" s="88">
        <f t="shared" ref="S25:S33" si="1">SUM(D25:Q25)</f>
        <v>1454955.27</v>
      </c>
    </row>
    <row r="26" spans="1:19" s="75" customFormat="1" ht="20.25" hidden="1" customHeight="1">
      <c r="A26" s="86"/>
      <c r="B26" s="89" t="s">
        <v>77</v>
      </c>
      <c r="C26" s="89"/>
      <c r="D26" s="87">
        <v>0</v>
      </c>
      <c r="E26" s="87"/>
      <c r="F26" s="87">
        <v>0</v>
      </c>
      <c r="G26" s="87"/>
      <c r="H26" s="87">
        <v>0</v>
      </c>
      <c r="I26" s="87"/>
      <c r="J26" s="87"/>
      <c r="K26" s="87">
        <v>0</v>
      </c>
      <c r="L26" s="87"/>
      <c r="M26" s="87">
        <v>606888.19999999995</v>
      </c>
      <c r="N26" s="87"/>
      <c r="O26" s="87">
        <v>0</v>
      </c>
      <c r="P26" s="87"/>
      <c r="Q26" s="87">
        <v>0</v>
      </c>
      <c r="R26" s="87"/>
      <c r="S26" s="88">
        <f t="shared" si="1"/>
        <v>606888.19999999995</v>
      </c>
    </row>
    <row r="27" spans="1:19" s="75" customFormat="1" ht="15" hidden="1" customHeight="1">
      <c r="A27" s="86"/>
      <c r="B27" s="89" t="s">
        <v>272</v>
      </c>
      <c r="C27" s="89"/>
      <c r="D27" s="87"/>
      <c r="E27" s="87"/>
      <c r="F27" s="87"/>
      <c r="G27" s="87"/>
      <c r="H27" s="87"/>
      <c r="I27" s="87"/>
      <c r="J27" s="87"/>
      <c r="K27" s="87"/>
      <c r="L27" s="87"/>
      <c r="M27" s="87"/>
      <c r="N27" s="87"/>
      <c r="O27" s="87"/>
      <c r="P27" s="87"/>
      <c r="Q27" s="87"/>
      <c r="R27" s="87"/>
      <c r="S27" s="88">
        <f t="shared" si="1"/>
        <v>0</v>
      </c>
    </row>
    <row r="28" spans="1:19" s="75" customFormat="1" ht="15" hidden="1" customHeight="1">
      <c r="A28" s="86"/>
      <c r="B28" s="89" t="s">
        <v>201</v>
      </c>
      <c r="C28" s="89"/>
      <c r="D28" s="87"/>
      <c r="E28" s="87"/>
      <c r="F28" s="87"/>
      <c r="G28" s="87"/>
      <c r="H28" s="87"/>
      <c r="I28" s="87"/>
      <c r="J28" s="87"/>
      <c r="K28" s="87"/>
      <c r="L28" s="87"/>
      <c r="M28" s="87">
        <v>0</v>
      </c>
      <c r="N28" s="87"/>
      <c r="O28" s="87"/>
      <c r="P28" s="87"/>
      <c r="Q28" s="87"/>
      <c r="R28" s="87"/>
      <c r="S28" s="88">
        <f t="shared" si="1"/>
        <v>0</v>
      </c>
    </row>
    <row r="29" spans="1:19" s="75" customFormat="1" ht="15" hidden="1" customHeight="1">
      <c r="A29" s="86"/>
      <c r="B29" s="89" t="s">
        <v>202</v>
      </c>
      <c r="C29" s="89"/>
      <c r="D29" s="87"/>
      <c r="E29" s="87"/>
      <c r="F29" s="87"/>
      <c r="G29" s="87"/>
      <c r="H29" s="87"/>
      <c r="I29" s="87"/>
      <c r="J29" s="87"/>
      <c r="K29" s="87"/>
      <c r="L29" s="87"/>
      <c r="M29" s="87"/>
      <c r="N29" s="87"/>
      <c r="O29" s="87"/>
      <c r="P29" s="87"/>
      <c r="Q29" s="87"/>
      <c r="R29" s="87"/>
      <c r="S29" s="88">
        <f t="shared" si="1"/>
        <v>0</v>
      </c>
    </row>
    <row r="30" spans="1:19" s="75" customFormat="1" ht="15" hidden="1" customHeight="1">
      <c r="A30" s="86"/>
      <c r="B30" s="89" t="s">
        <v>203</v>
      </c>
      <c r="C30" s="89"/>
      <c r="D30" s="87"/>
      <c r="E30" s="87"/>
      <c r="F30" s="87"/>
      <c r="G30" s="87"/>
      <c r="H30" s="87"/>
      <c r="I30" s="87"/>
      <c r="J30" s="87"/>
      <c r="K30" s="87"/>
      <c r="L30" s="87"/>
      <c r="M30" s="87"/>
      <c r="N30" s="87"/>
      <c r="O30" s="87"/>
      <c r="P30" s="87"/>
      <c r="Q30" s="87"/>
      <c r="R30" s="87"/>
      <c r="S30" s="88">
        <f t="shared" si="1"/>
        <v>0</v>
      </c>
    </row>
    <row r="31" spans="1:19" s="75" customFormat="1" ht="15" hidden="1" customHeight="1">
      <c r="A31" s="86"/>
      <c r="B31" s="89" t="s">
        <v>69</v>
      </c>
      <c r="C31" s="89"/>
      <c r="D31" s="87"/>
      <c r="E31" s="87"/>
      <c r="F31" s="87"/>
      <c r="G31" s="87"/>
      <c r="H31" s="87"/>
      <c r="I31" s="87"/>
      <c r="J31" s="87"/>
      <c r="K31" s="87"/>
      <c r="L31" s="87"/>
      <c r="M31" s="87">
        <v>0</v>
      </c>
      <c r="N31" s="87"/>
      <c r="O31" s="87"/>
      <c r="P31" s="87"/>
      <c r="Q31" s="87"/>
      <c r="R31" s="87"/>
      <c r="S31" s="88">
        <f t="shared" si="1"/>
        <v>0</v>
      </c>
    </row>
    <row r="32" spans="1:19" s="75" customFormat="1" ht="15" hidden="1" customHeight="1">
      <c r="A32" s="86"/>
      <c r="B32" s="89" t="s">
        <v>204</v>
      </c>
      <c r="C32" s="89"/>
      <c r="D32" s="87"/>
      <c r="E32" s="87"/>
      <c r="F32" s="87"/>
      <c r="G32" s="87"/>
      <c r="H32" s="87"/>
      <c r="I32" s="87"/>
      <c r="J32" s="87"/>
      <c r="K32" s="87"/>
      <c r="L32" s="87"/>
      <c r="M32" s="87"/>
      <c r="N32" s="87"/>
      <c r="O32" s="87"/>
      <c r="P32" s="87"/>
      <c r="Q32" s="87"/>
      <c r="R32" s="87"/>
      <c r="S32" s="88">
        <f t="shared" si="1"/>
        <v>0</v>
      </c>
    </row>
    <row r="33" spans="1:19" s="75" customFormat="1" ht="19.5" hidden="1" customHeight="1">
      <c r="A33" s="86"/>
      <c r="B33" s="89" t="s">
        <v>113</v>
      </c>
      <c r="C33" s="89"/>
      <c r="D33" s="90">
        <v>0</v>
      </c>
      <c r="E33" s="87"/>
      <c r="F33" s="90">
        <v>0</v>
      </c>
      <c r="G33" s="87"/>
      <c r="H33" s="90">
        <v>0</v>
      </c>
      <c r="I33" s="87"/>
      <c r="J33" s="87"/>
      <c r="K33" s="90">
        <v>0</v>
      </c>
      <c r="L33" s="87"/>
      <c r="M33" s="90">
        <v>-483181.21</v>
      </c>
      <c r="N33" s="87"/>
      <c r="O33" s="90">
        <v>0</v>
      </c>
      <c r="P33" s="87"/>
      <c r="Q33" s="90">
        <v>0</v>
      </c>
      <c r="R33" s="87"/>
      <c r="S33" s="91">
        <f t="shared" si="1"/>
        <v>-483181.21</v>
      </c>
    </row>
    <row r="34" spans="1:19" s="75" customFormat="1" ht="24.75" hidden="1" customHeight="1" thickBot="1">
      <c r="A34" s="86"/>
      <c r="B34" s="78" t="s">
        <v>207</v>
      </c>
      <c r="C34" s="78"/>
      <c r="D34" s="96">
        <f>SUM(D25:D33)</f>
        <v>0</v>
      </c>
      <c r="E34" s="93"/>
      <c r="F34" s="96">
        <f>SUM(F25:F33)</f>
        <v>0</v>
      </c>
      <c r="G34" s="93"/>
      <c r="H34" s="96">
        <f>SUM(H25:H33)</f>
        <v>0</v>
      </c>
      <c r="I34" s="93">
        <f>SUM(I25:I33)</f>
        <v>0</v>
      </c>
      <c r="J34" s="93"/>
      <c r="K34" s="96">
        <f>SUM(K25:K33)</f>
        <v>0</v>
      </c>
      <c r="L34" s="93"/>
      <c r="M34" s="92">
        <f>SUM(M25:M33)</f>
        <v>1578662.26</v>
      </c>
      <c r="N34" s="93"/>
      <c r="O34" s="96">
        <f>SUM(O25:O33)</f>
        <v>0</v>
      </c>
      <c r="P34" s="93"/>
      <c r="Q34" s="96">
        <f>SUM(Q25:Q33)</f>
        <v>0</v>
      </c>
      <c r="R34" s="93"/>
      <c r="S34" s="92">
        <f>SUM(S25:S33)</f>
        <v>1578662.26</v>
      </c>
    </row>
    <row r="35" spans="1:19" s="75" customFormat="1" ht="16.5" hidden="1" thickTop="1">
      <c r="A35" s="97"/>
      <c r="B35" s="97"/>
      <c r="C35" s="97"/>
      <c r="D35" s="98"/>
      <c r="E35" s="98"/>
      <c r="F35" s="98"/>
      <c r="G35" s="98"/>
      <c r="H35" s="98"/>
      <c r="I35" s="98"/>
      <c r="J35" s="98"/>
      <c r="K35" s="98"/>
      <c r="L35" s="98"/>
      <c r="M35" s="98"/>
      <c r="N35" s="98"/>
      <c r="O35" s="98"/>
      <c r="P35" s="98"/>
      <c r="Q35" s="98"/>
      <c r="R35" s="98"/>
      <c r="S35" s="99"/>
    </row>
    <row r="36" spans="1:19" s="75" customFormat="1" ht="24.75" hidden="1" customHeight="1">
      <c r="A36" s="97"/>
      <c r="B36" s="78" t="s">
        <v>75</v>
      </c>
      <c r="C36" s="97"/>
      <c r="D36" s="98"/>
      <c r="E36" s="98"/>
      <c r="F36" s="98"/>
      <c r="G36" s="98"/>
      <c r="H36" s="98"/>
      <c r="I36" s="98"/>
      <c r="J36" s="98"/>
      <c r="K36" s="98"/>
      <c r="L36" s="98"/>
      <c r="M36" s="98"/>
      <c r="N36" s="98"/>
      <c r="O36" s="98"/>
      <c r="P36" s="98"/>
      <c r="Q36" s="98"/>
      <c r="R36" s="98"/>
      <c r="S36" s="99"/>
    </row>
    <row r="37" spans="1:19" s="75" customFormat="1" ht="15.75" hidden="1">
      <c r="A37" s="100"/>
      <c r="B37" s="89" t="s">
        <v>172</v>
      </c>
      <c r="C37" s="89"/>
      <c r="D37" s="87">
        <v>866013.4</v>
      </c>
      <c r="E37" s="87"/>
      <c r="F37" s="87">
        <v>4967301.32</v>
      </c>
      <c r="G37" s="87"/>
      <c r="H37" s="87">
        <v>39772810.909999996</v>
      </c>
      <c r="I37" s="87"/>
      <c r="J37" s="87"/>
      <c r="K37" s="87">
        <v>149998386.97</v>
      </c>
      <c r="L37" s="87"/>
      <c r="M37" s="87">
        <f>6461382.46+2583545.26</f>
        <v>9044927.7199999988</v>
      </c>
      <c r="N37" s="87"/>
      <c r="O37" s="87">
        <v>13582587.82</v>
      </c>
      <c r="P37" s="87"/>
      <c r="Q37" s="87">
        <v>34671957.689999998</v>
      </c>
      <c r="R37" s="87"/>
      <c r="S37" s="87">
        <f>SUM(D37:Q37)</f>
        <v>252903985.82999998</v>
      </c>
    </row>
    <row r="38" spans="1:19" s="75" customFormat="1" ht="15.75" hidden="1">
      <c r="A38" s="100"/>
      <c r="B38" s="89" t="s">
        <v>76</v>
      </c>
      <c r="C38" s="78"/>
      <c r="D38" s="87">
        <v>-370896.24</v>
      </c>
      <c r="E38" s="87"/>
      <c r="F38" s="87">
        <v>0</v>
      </c>
      <c r="G38" s="87"/>
      <c r="H38" s="87">
        <v>-25396133.629999999</v>
      </c>
      <c r="I38" s="87"/>
      <c r="J38" s="87"/>
      <c r="K38" s="87">
        <v>-68859173.870000005</v>
      </c>
      <c r="L38" s="87"/>
      <c r="M38" s="87">
        <f>-4210592.87-1004883</f>
        <v>-5215475.87</v>
      </c>
      <c r="N38" s="87"/>
      <c r="O38" s="87">
        <v>-8322975.9400000004</v>
      </c>
      <c r="P38" s="87"/>
      <c r="Q38" s="87">
        <v>0</v>
      </c>
      <c r="R38" s="87"/>
      <c r="S38" s="87">
        <f>SUM(D38:Q38)</f>
        <v>-108164655.55000001</v>
      </c>
    </row>
    <row r="39" spans="1:19" s="75" customFormat="1" ht="26.25" hidden="1" customHeight="1" thickBot="1">
      <c r="A39" s="100"/>
      <c r="B39" s="78" t="s">
        <v>209</v>
      </c>
      <c r="C39" s="89"/>
      <c r="D39" s="101">
        <f>SUM(D37:D38)</f>
        <v>495117.16000000003</v>
      </c>
      <c r="E39" s="87"/>
      <c r="F39" s="101">
        <f>SUM(F37:F38)</f>
        <v>4967301.32</v>
      </c>
      <c r="G39" s="87"/>
      <c r="H39" s="101">
        <f>SUM(H37:H38)</f>
        <v>14376677.279999997</v>
      </c>
      <c r="I39" s="87"/>
      <c r="J39" s="87"/>
      <c r="K39" s="101">
        <f>SUM(K37:K38)</f>
        <v>81139213.099999994</v>
      </c>
      <c r="L39" s="87"/>
      <c r="M39" s="101">
        <f>SUM(M37:M38)</f>
        <v>3829451.8499999987</v>
      </c>
      <c r="N39" s="87"/>
      <c r="O39" s="101">
        <f>SUM(O37:O38)</f>
        <v>5259611.88</v>
      </c>
      <c r="P39" s="87"/>
      <c r="Q39" s="101">
        <f>SUM(Q37:Q38)</f>
        <v>34671957.689999998</v>
      </c>
      <c r="R39" s="87"/>
      <c r="S39" s="101">
        <f>SUM(S37:S38)</f>
        <v>144739330.27999997</v>
      </c>
    </row>
    <row r="40" spans="1:19" s="75" customFormat="1" ht="19.5" customHeight="1">
      <c r="A40" s="100"/>
      <c r="B40" s="78"/>
      <c r="C40" s="89"/>
      <c r="D40" s="102"/>
      <c r="E40" s="87"/>
      <c r="F40" s="102"/>
      <c r="G40" s="87"/>
      <c r="H40" s="102"/>
      <c r="I40" s="87"/>
      <c r="J40" s="87"/>
      <c r="K40" s="102"/>
      <c r="L40" s="87"/>
      <c r="M40" s="102"/>
      <c r="N40" s="87"/>
      <c r="O40" s="102"/>
      <c r="P40" s="87"/>
      <c r="Q40" s="102"/>
      <c r="R40" s="87"/>
      <c r="S40" s="102"/>
    </row>
    <row r="41" spans="1:19" s="75" customFormat="1" ht="30.75" customHeight="1">
      <c r="A41" s="100"/>
      <c r="B41" s="78" t="s">
        <v>367</v>
      </c>
      <c r="C41" s="89"/>
      <c r="D41" s="103"/>
      <c r="E41" s="103"/>
      <c r="F41" s="103"/>
      <c r="G41" s="103"/>
      <c r="H41" s="103"/>
      <c r="I41" s="103"/>
      <c r="J41" s="103"/>
      <c r="K41" s="103"/>
      <c r="L41" s="103"/>
      <c r="M41" s="103"/>
      <c r="N41" s="103"/>
      <c r="O41" s="103"/>
      <c r="P41" s="103"/>
      <c r="Q41" s="103"/>
      <c r="R41" s="103"/>
      <c r="S41" s="98"/>
    </row>
    <row r="42" spans="1:19" s="75" customFormat="1" ht="19.5" customHeight="1">
      <c r="A42" s="100"/>
      <c r="B42" s="66" t="s">
        <v>205</v>
      </c>
      <c r="C42" s="89"/>
      <c r="D42" s="103"/>
      <c r="E42" s="103"/>
      <c r="F42" s="103"/>
      <c r="G42" s="103"/>
      <c r="H42" s="103"/>
      <c r="I42" s="103"/>
      <c r="J42" s="103"/>
      <c r="K42" s="103"/>
      <c r="L42" s="103"/>
      <c r="M42" s="103"/>
      <c r="N42" s="103"/>
      <c r="O42" s="103"/>
      <c r="P42" s="103"/>
      <c r="Q42" s="103"/>
      <c r="R42" s="103"/>
      <c r="S42" s="98"/>
    </row>
    <row r="43" spans="1:19" s="75" customFormat="1" ht="2.25" customHeight="1">
      <c r="A43" s="100"/>
      <c r="B43" s="104"/>
      <c r="C43" s="89"/>
      <c r="D43" s="103"/>
      <c r="E43" s="103"/>
      <c r="F43" s="103"/>
      <c r="G43" s="103"/>
      <c r="H43" s="103"/>
      <c r="I43" s="103"/>
      <c r="J43" s="103"/>
      <c r="K43" s="103"/>
      <c r="L43" s="103"/>
      <c r="M43" s="103"/>
      <c r="N43" s="103"/>
      <c r="O43" s="103"/>
      <c r="P43" s="103"/>
      <c r="Q43" s="103"/>
      <c r="R43" s="103"/>
      <c r="S43" s="98"/>
    </row>
    <row r="44" spans="1:19" s="75" customFormat="1" ht="27.75" customHeight="1">
      <c r="A44" s="86"/>
      <c r="B44" s="78" t="s">
        <v>208</v>
      </c>
      <c r="C44" s="78"/>
      <c r="D44" s="87">
        <f>59263.49-1261.75</f>
        <v>58001.74</v>
      </c>
      <c r="E44" s="87"/>
      <c r="F44" s="87">
        <f>5061442.05</f>
        <v>5061442.05</v>
      </c>
      <c r="G44" s="87"/>
      <c r="H44" s="87">
        <f>16161155.69-352904.89</f>
        <v>15808250.799999999</v>
      </c>
      <c r="I44" s="87"/>
      <c r="J44" s="87"/>
      <c r="K44" s="87">
        <f>85388421.42-414533.23-558085.65-119790.65</f>
        <v>84296011.889999986</v>
      </c>
      <c r="L44" s="87"/>
      <c r="M44" s="87">
        <f>1905202.42-82652.92</f>
        <v>1822549.5</v>
      </c>
      <c r="N44" s="87"/>
      <c r="O44" s="87">
        <f>5883035.12+138298.67</f>
        <v>6021333.79</v>
      </c>
      <c r="P44" s="87"/>
      <c r="Q44" s="87">
        <v>69436192.599999994</v>
      </c>
      <c r="R44" s="87"/>
      <c r="S44" s="88">
        <f t="shared" ref="S44:S53" si="2">SUM(D44:Q44)</f>
        <v>182503782.37</v>
      </c>
    </row>
    <row r="45" spans="1:19" s="75" customFormat="1" ht="19.5" customHeight="1">
      <c r="A45" s="86"/>
      <c r="B45" s="89" t="s">
        <v>270</v>
      </c>
      <c r="C45" s="89"/>
      <c r="D45" s="87">
        <v>492300.39</v>
      </c>
      <c r="E45" s="87"/>
      <c r="F45" s="87">
        <v>22554.1</v>
      </c>
      <c r="G45" s="87"/>
      <c r="H45" s="87">
        <v>32817244.649999999</v>
      </c>
      <c r="I45" s="87"/>
      <c r="J45" s="87"/>
      <c r="K45" s="87">
        <v>65150360.119999997</v>
      </c>
      <c r="L45" s="87"/>
      <c r="M45" s="87">
        <v>350419.39</v>
      </c>
      <c r="N45" s="87"/>
      <c r="O45" s="87">
        <v>1805009.01</v>
      </c>
      <c r="P45" s="87"/>
      <c r="Q45" s="87">
        <v>-55446186.229999997</v>
      </c>
      <c r="R45" s="87"/>
      <c r="S45" s="88">
        <f t="shared" si="2"/>
        <v>45191701.43</v>
      </c>
    </row>
    <row r="46" spans="1:19" s="75" customFormat="1" ht="19.5" customHeight="1">
      <c r="A46" s="86"/>
      <c r="B46" s="89" t="s">
        <v>111</v>
      </c>
      <c r="C46" s="89"/>
      <c r="D46" s="87">
        <v>0</v>
      </c>
      <c r="E46" s="87"/>
      <c r="F46" s="87">
        <v>-148540.95000000001</v>
      </c>
      <c r="G46" s="87"/>
      <c r="H46" s="87">
        <v>-433469.03</v>
      </c>
      <c r="I46" s="87"/>
      <c r="J46" s="87"/>
      <c r="K46" s="87">
        <f>-4507595.65+558085.6+119790.65</f>
        <v>-3829719.4000000004</v>
      </c>
      <c r="L46" s="87"/>
      <c r="M46" s="87">
        <v>0</v>
      </c>
      <c r="N46" s="87"/>
      <c r="O46" s="87">
        <v>0</v>
      </c>
      <c r="P46" s="87"/>
      <c r="Q46" s="87">
        <v>0</v>
      </c>
      <c r="R46" s="87"/>
      <c r="S46" s="88">
        <f t="shared" si="2"/>
        <v>-4411729.3800000008</v>
      </c>
    </row>
    <row r="47" spans="1:19" s="75" customFormat="1" ht="19.5" hidden="1" customHeight="1">
      <c r="A47" s="86"/>
      <c r="B47" s="89" t="s">
        <v>201</v>
      </c>
      <c r="C47" s="89"/>
      <c r="D47" s="87"/>
      <c r="E47" s="87"/>
      <c r="F47" s="87"/>
      <c r="G47" s="87"/>
      <c r="H47" s="87"/>
      <c r="I47" s="87"/>
      <c r="J47" s="87"/>
      <c r="K47" s="87"/>
      <c r="L47" s="87"/>
      <c r="M47" s="87"/>
      <c r="N47" s="87"/>
      <c r="O47" s="87"/>
      <c r="P47" s="87"/>
      <c r="Q47" s="87"/>
      <c r="R47" s="87"/>
      <c r="S47" s="88">
        <f t="shared" si="2"/>
        <v>0</v>
      </c>
    </row>
    <row r="48" spans="1:19" s="75" customFormat="1" ht="19.5" hidden="1" customHeight="1">
      <c r="A48" s="86"/>
      <c r="B48" s="89" t="s">
        <v>202</v>
      </c>
      <c r="C48" s="89"/>
      <c r="D48" s="87"/>
      <c r="E48" s="87"/>
      <c r="F48" s="87"/>
      <c r="G48" s="87"/>
      <c r="H48" s="87"/>
      <c r="I48" s="87"/>
      <c r="J48" s="87"/>
      <c r="K48" s="87"/>
      <c r="L48" s="87"/>
      <c r="M48" s="87"/>
      <c r="N48" s="87"/>
      <c r="O48" s="87"/>
      <c r="P48" s="87"/>
      <c r="Q48" s="87"/>
      <c r="R48" s="87"/>
      <c r="S48" s="88">
        <f t="shared" si="2"/>
        <v>0</v>
      </c>
    </row>
    <row r="49" spans="1:19" s="75" customFormat="1" ht="19.5" hidden="1" customHeight="1">
      <c r="A49" s="86"/>
      <c r="B49" s="89" t="s">
        <v>203</v>
      </c>
      <c r="C49" s="89"/>
      <c r="D49" s="87"/>
      <c r="E49" s="87"/>
      <c r="F49" s="87"/>
      <c r="G49" s="87"/>
      <c r="H49" s="87"/>
      <c r="I49" s="87"/>
      <c r="J49" s="87"/>
      <c r="K49" s="87"/>
      <c r="L49" s="87"/>
      <c r="M49" s="87"/>
      <c r="N49" s="87"/>
      <c r="O49" s="87"/>
      <c r="P49" s="87"/>
      <c r="Q49" s="87"/>
      <c r="R49" s="87"/>
      <c r="S49" s="88">
        <f t="shared" si="2"/>
        <v>0</v>
      </c>
    </row>
    <row r="50" spans="1:19" s="75" customFormat="1" ht="15.75">
      <c r="A50" s="86"/>
      <c r="B50" s="89" t="s">
        <v>103</v>
      </c>
      <c r="C50" s="89"/>
      <c r="D50" s="87">
        <v>0</v>
      </c>
      <c r="E50" s="87"/>
      <c r="F50" s="87">
        <v>0</v>
      </c>
      <c r="G50" s="87"/>
      <c r="H50" s="87">
        <v>0</v>
      </c>
      <c r="I50" s="87"/>
      <c r="J50" s="87"/>
      <c r="K50" s="87">
        <v>2942122.29</v>
      </c>
      <c r="L50" s="87"/>
      <c r="M50" s="87">
        <v>0</v>
      </c>
      <c r="N50" s="87"/>
      <c r="O50" s="87">
        <v>0</v>
      </c>
      <c r="P50" s="87"/>
      <c r="Q50" s="87">
        <v>0</v>
      </c>
      <c r="R50" s="87"/>
      <c r="S50" s="88">
        <f t="shared" si="2"/>
        <v>2942122.29</v>
      </c>
    </row>
    <row r="51" spans="1:19" s="75" customFormat="1" ht="19.5" hidden="1" customHeight="1">
      <c r="A51" s="86"/>
      <c r="B51" s="89" t="s">
        <v>204</v>
      </c>
      <c r="C51" s="89"/>
      <c r="D51" s="87"/>
      <c r="E51" s="87"/>
      <c r="F51" s="87"/>
      <c r="G51" s="87"/>
      <c r="H51" s="87"/>
      <c r="I51" s="87"/>
      <c r="J51" s="87"/>
      <c r="K51" s="87"/>
      <c r="L51" s="87"/>
      <c r="M51" s="87"/>
      <c r="N51" s="87"/>
      <c r="O51" s="87"/>
      <c r="P51" s="87"/>
      <c r="Q51" s="87"/>
      <c r="R51" s="87"/>
      <c r="S51" s="88">
        <f t="shared" si="2"/>
        <v>0</v>
      </c>
    </row>
    <row r="52" spans="1:19" s="75" customFormat="1" ht="19.5" customHeight="1">
      <c r="A52" s="86"/>
      <c r="B52" s="89" t="s">
        <v>113</v>
      </c>
      <c r="C52" s="89"/>
      <c r="D52" s="87">
        <v>-22469.16</v>
      </c>
      <c r="E52" s="87"/>
      <c r="F52" s="87">
        <v>0</v>
      </c>
      <c r="G52" s="87"/>
      <c r="H52" s="87">
        <v>-1593796.72</v>
      </c>
      <c r="I52" s="87"/>
      <c r="J52" s="87"/>
      <c r="K52" s="87">
        <v>-7025164.21</v>
      </c>
      <c r="L52" s="87"/>
      <c r="M52" s="87">
        <v>-595544.74</v>
      </c>
      <c r="N52" s="87"/>
      <c r="O52" s="87">
        <v>-711593.2</v>
      </c>
      <c r="P52" s="87"/>
      <c r="Q52" s="87">
        <v>0</v>
      </c>
      <c r="R52" s="87"/>
      <c r="S52" s="88">
        <f t="shared" si="2"/>
        <v>-9948568.0299999993</v>
      </c>
    </row>
    <row r="53" spans="1:19" s="75" customFormat="1" ht="19.5" customHeight="1">
      <c r="A53" s="86"/>
      <c r="B53" s="89" t="s">
        <v>306</v>
      </c>
      <c r="C53" s="89"/>
      <c r="D53" s="87">
        <v>0</v>
      </c>
      <c r="E53" s="87"/>
      <c r="F53" s="87">
        <v>0</v>
      </c>
      <c r="G53" s="87"/>
      <c r="H53" s="87">
        <v>0</v>
      </c>
      <c r="I53" s="87"/>
      <c r="J53" s="87"/>
      <c r="K53" s="87">
        <v>0</v>
      </c>
      <c r="L53" s="87"/>
      <c r="M53" s="87">
        <v>0</v>
      </c>
      <c r="N53" s="87"/>
      <c r="O53" s="87">
        <v>-119790.62</v>
      </c>
      <c r="P53" s="87"/>
      <c r="Q53" s="87">
        <v>0</v>
      </c>
      <c r="R53" s="87"/>
      <c r="S53" s="88">
        <f t="shared" si="2"/>
        <v>-119790.62</v>
      </c>
    </row>
    <row r="54" spans="1:19" s="75" customFormat="1" ht="19.5" customHeight="1" thickBot="1">
      <c r="A54" s="86"/>
      <c r="B54" s="78" t="s">
        <v>207</v>
      </c>
      <c r="C54" s="78"/>
      <c r="D54" s="92">
        <f>SUM(D44:D53)</f>
        <v>527832.97</v>
      </c>
      <c r="E54" s="88"/>
      <c r="F54" s="92">
        <f t="shared" ref="F54:R54" si="3">SUM(F44:F53)</f>
        <v>4935455.1999999993</v>
      </c>
      <c r="G54" s="92">
        <f t="shared" si="3"/>
        <v>0</v>
      </c>
      <c r="H54" s="92">
        <f t="shared" si="3"/>
        <v>46598229.699999996</v>
      </c>
      <c r="I54" s="92">
        <f t="shared" si="3"/>
        <v>0</v>
      </c>
      <c r="J54" s="92">
        <f t="shared" si="3"/>
        <v>0</v>
      </c>
      <c r="K54" s="92">
        <f t="shared" si="3"/>
        <v>141533610.68999997</v>
      </c>
      <c r="L54" s="92">
        <f t="shared" si="3"/>
        <v>0</v>
      </c>
      <c r="M54" s="92">
        <f t="shared" si="3"/>
        <v>1577424.1500000001</v>
      </c>
      <c r="N54" s="92">
        <f t="shared" si="3"/>
        <v>0</v>
      </c>
      <c r="O54" s="92">
        <f t="shared" si="3"/>
        <v>6994958.9799999995</v>
      </c>
      <c r="P54" s="92">
        <f t="shared" si="3"/>
        <v>0</v>
      </c>
      <c r="Q54" s="92">
        <f t="shared" si="3"/>
        <v>13990006.369999997</v>
      </c>
      <c r="R54" s="92">
        <f t="shared" si="3"/>
        <v>0</v>
      </c>
      <c r="S54" s="92">
        <f>SUM(S44:S53)</f>
        <v>216157518.06</v>
      </c>
    </row>
    <row r="55" spans="1:19" s="75" customFormat="1" ht="16.5" thickTop="1">
      <c r="A55" s="97"/>
      <c r="B55" s="97"/>
      <c r="C55" s="97"/>
      <c r="D55" s="98"/>
      <c r="E55" s="98"/>
      <c r="F55" s="98"/>
      <c r="G55" s="98"/>
      <c r="H55" s="98"/>
      <c r="I55" s="98"/>
      <c r="J55" s="98"/>
      <c r="K55" s="98"/>
      <c r="L55" s="98"/>
      <c r="M55" s="98"/>
      <c r="N55" s="98"/>
      <c r="O55" s="98"/>
      <c r="P55" s="98"/>
      <c r="Q55" s="98"/>
      <c r="R55" s="98"/>
      <c r="S55" s="99"/>
    </row>
    <row r="56" spans="1:19" s="75" customFormat="1" ht="15.75">
      <c r="A56" s="97"/>
      <c r="B56" s="97"/>
      <c r="C56" s="97"/>
      <c r="D56" s="98"/>
      <c r="E56" s="98"/>
      <c r="F56" s="98"/>
      <c r="G56" s="98"/>
      <c r="H56" s="98"/>
      <c r="I56" s="98"/>
      <c r="J56" s="98"/>
      <c r="K56" s="98"/>
      <c r="L56" s="98"/>
      <c r="M56" s="98"/>
      <c r="N56" s="98"/>
      <c r="O56" s="98"/>
      <c r="P56" s="98"/>
      <c r="Q56" s="98"/>
      <c r="R56" s="98"/>
      <c r="S56" s="99"/>
    </row>
    <row r="57" spans="1:19" s="75" customFormat="1" ht="15.75" hidden="1">
      <c r="A57" s="97"/>
      <c r="B57" s="66" t="s">
        <v>91</v>
      </c>
      <c r="C57" s="97"/>
      <c r="D57" s="98"/>
      <c r="E57" s="98"/>
      <c r="F57" s="98"/>
      <c r="G57" s="98"/>
      <c r="H57" s="98"/>
      <c r="I57" s="98"/>
      <c r="J57" s="98"/>
      <c r="K57" s="98"/>
      <c r="L57" s="98"/>
      <c r="M57" s="98"/>
      <c r="N57" s="98"/>
      <c r="O57" s="98"/>
      <c r="P57" s="98"/>
      <c r="Q57" s="98"/>
      <c r="R57" s="98"/>
      <c r="S57" s="99"/>
    </row>
    <row r="58" spans="1:19" s="75" customFormat="1" ht="3" hidden="1" customHeight="1">
      <c r="A58" s="97"/>
      <c r="B58" s="97"/>
      <c r="C58" s="97"/>
      <c r="D58" s="98"/>
      <c r="E58" s="98"/>
      <c r="F58" s="98"/>
      <c r="G58" s="98"/>
      <c r="H58" s="98"/>
      <c r="I58" s="98"/>
      <c r="J58" s="98"/>
      <c r="K58" s="98"/>
      <c r="L58" s="98"/>
      <c r="M58" s="98"/>
      <c r="N58" s="98"/>
      <c r="O58" s="98"/>
      <c r="P58" s="98"/>
      <c r="Q58" s="98"/>
      <c r="R58" s="98"/>
      <c r="S58" s="99"/>
    </row>
    <row r="59" spans="1:19" s="75" customFormat="1" ht="30" hidden="1" customHeight="1">
      <c r="A59" s="86"/>
      <c r="B59" s="78" t="s">
        <v>208</v>
      </c>
      <c r="C59" s="78"/>
      <c r="D59" s="87"/>
      <c r="E59" s="87"/>
      <c r="F59" s="87"/>
      <c r="G59" s="87"/>
      <c r="H59" s="87"/>
      <c r="I59" s="87"/>
      <c r="J59" s="87"/>
      <c r="K59" s="87"/>
      <c r="L59" s="87"/>
      <c r="M59" s="87"/>
      <c r="N59" s="87"/>
      <c r="O59" s="87"/>
      <c r="P59" s="87"/>
      <c r="Q59" s="87"/>
      <c r="R59" s="87"/>
      <c r="S59" s="88">
        <f t="shared" ref="S59:S67" si="4">SUM(D59:Q59)</f>
        <v>0</v>
      </c>
    </row>
    <row r="60" spans="1:19" s="75" customFormat="1" ht="15.75" hidden="1">
      <c r="A60" s="86"/>
      <c r="B60" s="89" t="s">
        <v>77</v>
      </c>
      <c r="C60" s="89"/>
      <c r="D60" s="87"/>
      <c r="E60" s="87"/>
      <c r="F60" s="87"/>
      <c r="G60" s="87"/>
      <c r="H60" s="87"/>
      <c r="I60" s="87"/>
      <c r="J60" s="87"/>
      <c r="K60" s="87"/>
      <c r="L60" s="87"/>
      <c r="M60" s="87"/>
      <c r="N60" s="87"/>
      <c r="O60" s="87"/>
      <c r="P60" s="87"/>
      <c r="Q60" s="87"/>
      <c r="R60" s="87"/>
      <c r="S60" s="88">
        <f t="shared" si="4"/>
        <v>0</v>
      </c>
    </row>
    <row r="61" spans="1:19" s="75" customFormat="1" ht="15.75" hidden="1">
      <c r="A61" s="86"/>
      <c r="B61" s="89" t="s">
        <v>23</v>
      </c>
      <c r="C61" s="89"/>
      <c r="D61" s="87"/>
      <c r="E61" s="87"/>
      <c r="F61" s="87"/>
      <c r="G61" s="87"/>
      <c r="H61" s="87"/>
      <c r="I61" s="87"/>
      <c r="J61" s="87"/>
      <c r="K61" s="87"/>
      <c r="L61" s="87"/>
      <c r="M61" s="87"/>
      <c r="N61" s="87"/>
      <c r="O61" s="87"/>
      <c r="P61" s="87"/>
      <c r="Q61" s="87"/>
      <c r="R61" s="87"/>
      <c r="S61" s="88">
        <f t="shared" si="4"/>
        <v>0</v>
      </c>
    </row>
    <row r="62" spans="1:19" s="75" customFormat="1" ht="19.5" hidden="1" customHeight="1">
      <c r="A62" s="86"/>
      <c r="B62" s="89" t="s">
        <v>201</v>
      </c>
      <c r="C62" s="89"/>
      <c r="D62" s="87"/>
      <c r="E62" s="87"/>
      <c r="F62" s="87"/>
      <c r="G62" s="87"/>
      <c r="H62" s="87"/>
      <c r="I62" s="87"/>
      <c r="J62" s="87"/>
      <c r="K62" s="87"/>
      <c r="L62" s="87"/>
      <c r="M62" s="87"/>
      <c r="N62" s="87"/>
      <c r="O62" s="87"/>
      <c r="P62" s="87"/>
      <c r="Q62" s="87"/>
      <c r="R62" s="87"/>
      <c r="S62" s="88">
        <f t="shared" si="4"/>
        <v>0</v>
      </c>
    </row>
    <row r="63" spans="1:19" s="75" customFormat="1" ht="19.5" hidden="1" customHeight="1">
      <c r="A63" s="86"/>
      <c r="B63" s="89" t="s">
        <v>202</v>
      </c>
      <c r="C63" s="89"/>
      <c r="D63" s="87"/>
      <c r="E63" s="87"/>
      <c r="F63" s="87"/>
      <c r="G63" s="87"/>
      <c r="H63" s="87"/>
      <c r="I63" s="87"/>
      <c r="J63" s="87"/>
      <c r="K63" s="87"/>
      <c r="L63" s="87"/>
      <c r="M63" s="87"/>
      <c r="N63" s="87"/>
      <c r="O63" s="87"/>
      <c r="P63" s="87"/>
      <c r="Q63" s="87"/>
      <c r="R63" s="87"/>
      <c r="S63" s="88">
        <f t="shared" si="4"/>
        <v>0</v>
      </c>
    </row>
    <row r="64" spans="1:19" s="75" customFormat="1" ht="19.5" hidden="1" customHeight="1">
      <c r="A64" s="86"/>
      <c r="B64" s="89" t="s">
        <v>203</v>
      </c>
      <c r="C64" s="89"/>
      <c r="D64" s="87"/>
      <c r="E64" s="87"/>
      <c r="F64" s="87"/>
      <c r="G64" s="87"/>
      <c r="H64" s="87"/>
      <c r="I64" s="87"/>
      <c r="J64" s="87"/>
      <c r="K64" s="87"/>
      <c r="L64" s="87"/>
      <c r="M64" s="87"/>
      <c r="N64" s="87"/>
      <c r="O64" s="87"/>
      <c r="P64" s="87"/>
      <c r="Q64" s="87"/>
      <c r="R64" s="87"/>
      <c r="S64" s="88">
        <f t="shared" si="4"/>
        <v>0</v>
      </c>
    </row>
    <row r="65" spans="1:19" s="75" customFormat="1" ht="19.5" hidden="1" customHeight="1">
      <c r="A65" s="86"/>
      <c r="B65" s="89" t="s">
        <v>69</v>
      </c>
      <c r="C65" s="89"/>
      <c r="D65" s="87"/>
      <c r="E65" s="87"/>
      <c r="F65" s="87"/>
      <c r="G65" s="87"/>
      <c r="H65" s="87"/>
      <c r="I65" s="87"/>
      <c r="J65" s="87"/>
      <c r="K65" s="87"/>
      <c r="L65" s="87"/>
      <c r="M65" s="87"/>
      <c r="N65" s="87"/>
      <c r="O65" s="87"/>
      <c r="P65" s="87"/>
      <c r="Q65" s="87"/>
      <c r="R65" s="87"/>
      <c r="S65" s="88">
        <f t="shared" si="4"/>
        <v>0</v>
      </c>
    </row>
    <row r="66" spans="1:19" s="75" customFormat="1" ht="19.5" hidden="1" customHeight="1">
      <c r="A66" s="86"/>
      <c r="B66" s="89" t="s">
        <v>204</v>
      </c>
      <c r="C66" s="89"/>
      <c r="D66" s="87"/>
      <c r="E66" s="87"/>
      <c r="F66" s="87"/>
      <c r="G66" s="87"/>
      <c r="H66" s="87"/>
      <c r="I66" s="87"/>
      <c r="J66" s="87"/>
      <c r="K66" s="87"/>
      <c r="L66" s="87"/>
      <c r="M66" s="87"/>
      <c r="N66" s="87"/>
      <c r="O66" s="87"/>
      <c r="P66" s="87"/>
      <c r="Q66" s="87"/>
      <c r="R66" s="87"/>
      <c r="S66" s="88">
        <f t="shared" si="4"/>
        <v>0</v>
      </c>
    </row>
    <row r="67" spans="1:19" s="75" customFormat="1" ht="19.5" hidden="1" customHeight="1">
      <c r="A67" s="86"/>
      <c r="B67" s="89" t="s">
        <v>113</v>
      </c>
      <c r="C67" s="89"/>
      <c r="D67" s="90"/>
      <c r="E67" s="87"/>
      <c r="F67" s="90"/>
      <c r="G67" s="87"/>
      <c r="H67" s="90"/>
      <c r="I67" s="87"/>
      <c r="J67" s="87"/>
      <c r="K67" s="90"/>
      <c r="L67" s="87"/>
      <c r="M67" s="90"/>
      <c r="N67" s="87"/>
      <c r="O67" s="90"/>
      <c r="P67" s="87"/>
      <c r="Q67" s="90"/>
      <c r="R67" s="87"/>
      <c r="S67" s="91">
        <f t="shared" si="4"/>
        <v>0</v>
      </c>
    </row>
    <row r="68" spans="1:19" s="75" customFormat="1" ht="19.5" hidden="1" customHeight="1" thickBot="1">
      <c r="A68" s="86"/>
      <c r="B68" s="78" t="s">
        <v>207</v>
      </c>
      <c r="C68" s="78"/>
      <c r="D68" s="96">
        <f>SUM(D59:D67)</f>
        <v>0</v>
      </c>
      <c r="E68" s="93"/>
      <c r="F68" s="92">
        <f>SUM(F59:F67)</f>
        <v>0</v>
      </c>
      <c r="G68" s="93"/>
      <c r="H68" s="92">
        <f>SUM(H59:H67)</f>
        <v>0</v>
      </c>
      <c r="I68" s="93">
        <f>SUM(I59:I67)</f>
        <v>0</v>
      </c>
      <c r="J68" s="93"/>
      <c r="K68" s="92">
        <f>SUM(K59:K67)</f>
        <v>0</v>
      </c>
      <c r="L68" s="93"/>
      <c r="M68" s="92">
        <f>SUM(M59:M67)</f>
        <v>0</v>
      </c>
      <c r="N68" s="93"/>
      <c r="O68" s="92">
        <f>SUM(O59:O67)</f>
        <v>0</v>
      </c>
      <c r="P68" s="93"/>
      <c r="Q68" s="92">
        <f>SUM(Q59:Q67)</f>
        <v>0</v>
      </c>
      <c r="R68" s="93"/>
      <c r="S68" s="92">
        <f>SUM(S59:S67)</f>
        <v>0</v>
      </c>
    </row>
    <row r="69" spans="1:19" s="75" customFormat="1" ht="15.75">
      <c r="A69" s="100"/>
      <c r="B69" s="105"/>
      <c r="C69" s="105"/>
      <c r="D69" s="103"/>
      <c r="E69" s="103"/>
      <c r="F69" s="103"/>
      <c r="G69" s="103"/>
      <c r="H69" s="103"/>
      <c r="I69" s="103"/>
      <c r="J69" s="103"/>
      <c r="K69" s="103"/>
      <c r="L69" s="103"/>
      <c r="M69" s="103"/>
      <c r="N69" s="103"/>
      <c r="O69" s="103"/>
      <c r="P69" s="103"/>
      <c r="Q69" s="103"/>
      <c r="R69" s="103"/>
      <c r="S69" s="98"/>
    </row>
    <row r="70" spans="1:19" s="75" customFormat="1" ht="28.5" customHeight="1">
      <c r="A70" s="100"/>
      <c r="B70" s="78" t="s">
        <v>65</v>
      </c>
      <c r="C70" s="89"/>
      <c r="D70" s="103"/>
      <c r="E70" s="103"/>
      <c r="F70" s="103"/>
      <c r="G70" s="103"/>
      <c r="H70" s="103"/>
      <c r="I70" s="103"/>
      <c r="J70" s="103"/>
      <c r="K70" s="103"/>
      <c r="L70" s="103"/>
      <c r="M70" s="103"/>
      <c r="N70" s="103"/>
      <c r="O70" s="103"/>
      <c r="P70" s="103"/>
      <c r="Q70" s="103"/>
      <c r="R70" s="103"/>
      <c r="S70" s="98"/>
    </row>
    <row r="71" spans="1:19" s="75" customFormat="1" ht="15.75">
      <c r="A71" s="100"/>
      <c r="B71" s="89" t="s">
        <v>172</v>
      </c>
      <c r="C71" s="89"/>
      <c r="D71" s="87">
        <v>766797.54</v>
      </c>
      <c r="E71" s="87"/>
      <c r="F71" s="87">
        <v>4935455.2</v>
      </c>
      <c r="G71" s="87"/>
      <c r="H71" s="87">
        <v>74192129.959999993</v>
      </c>
      <c r="I71" s="87"/>
      <c r="J71" s="87"/>
      <c r="K71" s="87">
        <v>222722543.28</v>
      </c>
      <c r="L71" s="87"/>
      <c r="M71" s="87">
        <v>6938415.71</v>
      </c>
      <c r="N71" s="87"/>
      <c r="O71" s="87">
        <v>16251408.59</v>
      </c>
      <c r="P71" s="87"/>
      <c r="Q71" s="87">
        <v>13990006.369999999</v>
      </c>
      <c r="R71" s="87"/>
      <c r="S71" s="87">
        <f>SUM(D71:Q71)</f>
        <v>339796756.64999998</v>
      </c>
    </row>
    <row r="72" spans="1:19" s="75" customFormat="1" ht="15.75">
      <c r="A72" s="100"/>
      <c r="B72" s="89" t="s">
        <v>76</v>
      </c>
      <c r="C72" s="78"/>
      <c r="D72" s="87">
        <f>-237702.82-1261.75</f>
        <v>-238964.57</v>
      </c>
      <c r="E72" s="87"/>
      <c r="F72" s="87">
        <v>0</v>
      </c>
      <c r="G72" s="87"/>
      <c r="H72" s="87">
        <f>-27240995.37-352904.89</f>
        <v>-27593900.260000002</v>
      </c>
      <c r="I72" s="87"/>
      <c r="J72" s="87"/>
      <c r="K72" s="87">
        <f>-80774399.31-414533.23</f>
        <v>-81188932.540000007</v>
      </c>
      <c r="L72" s="87"/>
      <c r="M72" s="87">
        <f>-5278338.64-82652.92</f>
        <v>-5360991.5599999996</v>
      </c>
      <c r="N72" s="87"/>
      <c r="O72" s="87">
        <f>-9394748.28+138298.67</f>
        <v>-9256449.6099999994</v>
      </c>
      <c r="P72" s="87"/>
      <c r="Q72" s="87">
        <v>0</v>
      </c>
      <c r="R72" s="87"/>
      <c r="S72" s="87">
        <f>SUM(D72:Q72)</f>
        <v>-123639238.54000001</v>
      </c>
    </row>
    <row r="73" spans="1:19" s="75" customFormat="1" ht="31.5" customHeight="1" thickBot="1">
      <c r="A73" s="100"/>
      <c r="B73" s="78" t="s">
        <v>209</v>
      </c>
      <c r="C73" s="89"/>
      <c r="D73" s="101">
        <f>SUM(D71:D72)</f>
        <v>527832.97</v>
      </c>
      <c r="E73" s="87"/>
      <c r="F73" s="101">
        <f>SUM(F71:F72)</f>
        <v>4935455.2</v>
      </c>
      <c r="G73" s="87"/>
      <c r="H73" s="101">
        <f>SUM(H71:H72)</f>
        <v>46598229.699999988</v>
      </c>
      <c r="I73" s="87"/>
      <c r="J73" s="87"/>
      <c r="K73" s="101">
        <f>SUM(K71:K72)</f>
        <v>141533610.74000001</v>
      </c>
      <c r="L73" s="87"/>
      <c r="M73" s="101">
        <f>SUM(M71:M72)</f>
        <v>1577424.1500000004</v>
      </c>
      <c r="N73" s="87"/>
      <c r="O73" s="101">
        <f>SUM(O71:O72)</f>
        <v>6994958.9800000004</v>
      </c>
      <c r="P73" s="87"/>
      <c r="Q73" s="101">
        <f>SUM(Q71:Q72)</f>
        <v>13990006.369999999</v>
      </c>
      <c r="R73" s="87"/>
      <c r="S73" s="101">
        <f>SUM(S71:S72)</f>
        <v>216157518.10999995</v>
      </c>
    </row>
    <row r="74" spans="1:19" s="75" customFormat="1" ht="16.5" thickTop="1"/>
    <row r="75" spans="1:19" s="60" customFormat="1"/>
    <row r="76" spans="1:19" s="60" customFormat="1"/>
    <row r="77" spans="1:19" s="60" customFormat="1" ht="15.75">
      <c r="B77" s="78" t="s">
        <v>197</v>
      </c>
      <c r="C77" s="89"/>
      <c r="D77" s="103"/>
      <c r="E77" s="103"/>
      <c r="F77" s="103"/>
      <c r="G77" s="103"/>
      <c r="H77" s="103"/>
      <c r="I77" s="103"/>
      <c r="J77" s="103"/>
      <c r="K77" s="103"/>
      <c r="L77" s="103"/>
      <c r="M77" s="103"/>
      <c r="N77" s="103"/>
      <c r="O77" s="103"/>
      <c r="P77" s="103"/>
      <c r="Q77" s="103"/>
      <c r="R77" s="103"/>
      <c r="S77" s="98"/>
    </row>
    <row r="78" spans="1:19" s="60" customFormat="1" ht="15.75">
      <c r="B78" s="66" t="s">
        <v>205</v>
      </c>
      <c r="C78" s="89"/>
      <c r="D78" s="103"/>
      <c r="E78" s="103"/>
      <c r="F78" s="103"/>
      <c r="G78" s="103"/>
      <c r="H78" s="103"/>
      <c r="I78" s="103"/>
      <c r="J78" s="103"/>
      <c r="K78" s="103"/>
      <c r="L78" s="103"/>
      <c r="M78" s="103"/>
      <c r="N78" s="103"/>
      <c r="O78" s="103"/>
      <c r="P78" s="103"/>
      <c r="Q78" s="103"/>
      <c r="R78" s="103"/>
      <c r="S78" s="98"/>
    </row>
    <row r="79" spans="1:19" s="60" customFormat="1" ht="15.75">
      <c r="B79" s="104"/>
      <c r="C79" s="89"/>
      <c r="D79" s="103"/>
      <c r="E79" s="103"/>
      <c r="F79" s="103"/>
      <c r="G79" s="103"/>
      <c r="H79" s="103"/>
      <c r="I79" s="103"/>
      <c r="J79" s="103"/>
      <c r="K79" s="103"/>
      <c r="L79" s="103"/>
      <c r="M79" s="103"/>
      <c r="N79" s="103"/>
      <c r="O79" s="103"/>
      <c r="P79" s="103"/>
      <c r="Q79" s="103"/>
      <c r="R79" s="103"/>
      <c r="S79" s="98"/>
    </row>
    <row r="80" spans="1:19" s="60" customFormat="1" ht="15.75">
      <c r="B80" s="78" t="s">
        <v>208</v>
      </c>
      <c r="C80" s="78"/>
      <c r="D80" s="87">
        <f>D54</f>
        <v>527832.97</v>
      </c>
      <c r="E80" s="87"/>
      <c r="F80" s="87">
        <f>F54</f>
        <v>4935455.1999999993</v>
      </c>
      <c r="G80" s="87"/>
      <c r="H80" s="87">
        <f>H54</f>
        <v>46598229.699999996</v>
      </c>
      <c r="I80" s="87"/>
      <c r="J80" s="87"/>
      <c r="K80" s="87">
        <f>K54</f>
        <v>141533610.68999997</v>
      </c>
      <c r="L80" s="87"/>
      <c r="M80" s="87">
        <f>M54</f>
        <v>1577424.1500000001</v>
      </c>
      <c r="N80" s="87"/>
      <c r="O80" s="87">
        <f>O73</f>
        <v>6994958.9800000004</v>
      </c>
      <c r="P80" s="87"/>
      <c r="Q80" s="87">
        <f>Q73</f>
        <v>13990006.369999999</v>
      </c>
      <c r="R80" s="87"/>
      <c r="S80" s="88">
        <f t="shared" ref="S80:S90" si="5">SUM(D80:Q80)</f>
        <v>216157518.05999997</v>
      </c>
    </row>
    <row r="81" spans="1:19" s="60" customFormat="1" ht="15.75">
      <c r="B81" s="89" t="s">
        <v>270</v>
      </c>
      <c r="C81" s="89"/>
      <c r="D81" s="87">
        <f>208091</f>
        <v>208091</v>
      </c>
      <c r="E81" s="87"/>
      <c r="F81" s="87">
        <f>268056</f>
        <v>268056</v>
      </c>
      <c r="G81" s="87"/>
      <c r="H81" s="87">
        <v>5247005.09</v>
      </c>
      <c r="I81" s="87"/>
      <c r="J81" s="87"/>
      <c r="K81" s="87">
        <v>21424770.140000001</v>
      </c>
      <c r="L81" s="87"/>
      <c r="M81" s="87">
        <v>172212.58</v>
      </c>
      <c r="N81" s="87"/>
      <c r="O81" s="87">
        <v>2543149.1800000002</v>
      </c>
      <c r="P81" s="87"/>
      <c r="Q81" s="87">
        <v>-3208832.47</v>
      </c>
      <c r="R81" s="87"/>
      <c r="S81" s="88">
        <f t="shared" si="5"/>
        <v>26654451.52</v>
      </c>
    </row>
    <row r="82" spans="1:19" s="60" customFormat="1" ht="15.75">
      <c r="B82" s="89" t="s">
        <v>310</v>
      </c>
      <c r="C82" s="89"/>
      <c r="D82" s="87">
        <v>7209.86</v>
      </c>
      <c r="E82" s="87"/>
      <c r="F82" s="87">
        <v>166859.51</v>
      </c>
      <c r="G82" s="87"/>
      <c r="H82" s="87">
        <v>0</v>
      </c>
      <c r="I82" s="87"/>
      <c r="J82" s="87"/>
      <c r="K82" s="87">
        <v>0</v>
      </c>
      <c r="L82" s="87"/>
      <c r="M82" s="87">
        <v>0</v>
      </c>
      <c r="N82" s="87"/>
      <c r="O82" s="87">
        <v>0</v>
      </c>
      <c r="P82" s="87"/>
      <c r="Q82" s="87">
        <v>0</v>
      </c>
      <c r="R82" s="87"/>
      <c r="S82" s="88">
        <f t="shared" si="5"/>
        <v>174069.37</v>
      </c>
    </row>
    <row r="83" spans="1:19" s="60" customFormat="1" ht="15.75">
      <c r="B83" s="89" t="s">
        <v>111</v>
      </c>
      <c r="C83" s="89"/>
      <c r="D83" s="87">
        <f>-1840.66+120.6</f>
        <v>-1720.0600000000002</v>
      </c>
      <c r="E83" s="87"/>
      <c r="F83" s="87">
        <v>0</v>
      </c>
      <c r="G83" s="87"/>
      <c r="H83" s="87">
        <f>-219660.61+209954.16</f>
        <v>-9706.4499999999825</v>
      </c>
      <c r="I83" s="87"/>
      <c r="J83" s="87"/>
      <c r="K83" s="87">
        <f>-4392616.34+4298960.44</f>
        <v>-93655.899999999441</v>
      </c>
      <c r="L83" s="87"/>
      <c r="M83" s="87">
        <f>-713020.26+658875.81</f>
        <v>-54144.449999999953</v>
      </c>
      <c r="N83" s="87"/>
      <c r="O83" s="87">
        <f>-109104.11+96244.75</f>
        <v>-12859.36</v>
      </c>
      <c r="P83" s="87"/>
      <c r="Q83" s="87">
        <v>0</v>
      </c>
      <c r="R83" s="87"/>
      <c r="S83" s="88">
        <f t="shared" si="5"/>
        <v>-172086.21999999939</v>
      </c>
    </row>
    <row r="84" spans="1:19" s="60" customFormat="1" ht="15.75" hidden="1">
      <c r="B84" s="89" t="s">
        <v>201</v>
      </c>
      <c r="C84" s="89"/>
      <c r="D84" s="87"/>
      <c r="E84" s="87"/>
      <c r="F84" s="87"/>
      <c r="G84" s="87"/>
      <c r="H84" s="87"/>
      <c r="I84" s="87"/>
      <c r="J84" s="87"/>
      <c r="K84" s="87"/>
      <c r="L84" s="87"/>
      <c r="M84" s="87"/>
      <c r="N84" s="87"/>
      <c r="O84" s="87"/>
      <c r="P84" s="87"/>
      <c r="Q84" s="87"/>
      <c r="R84" s="87"/>
      <c r="S84" s="88">
        <f t="shared" si="5"/>
        <v>0</v>
      </c>
    </row>
    <row r="85" spans="1:19" s="60" customFormat="1" ht="15.75" hidden="1">
      <c r="B85" s="89" t="s">
        <v>202</v>
      </c>
      <c r="C85" s="89"/>
      <c r="D85" s="87"/>
      <c r="E85" s="87"/>
      <c r="F85" s="87"/>
      <c r="G85" s="87"/>
      <c r="H85" s="87"/>
      <c r="I85" s="87"/>
      <c r="J85" s="87"/>
      <c r="K85" s="87"/>
      <c r="L85" s="87"/>
      <c r="M85" s="87"/>
      <c r="N85" s="87"/>
      <c r="O85" s="87"/>
      <c r="P85" s="87"/>
      <c r="Q85" s="87"/>
      <c r="R85" s="87"/>
      <c r="S85" s="88">
        <f t="shared" si="5"/>
        <v>0</v>
      </c>
    </row>
    <row r="86" spans="1:19" s="60" customFormat="1" ht="15.75" hidden="1">
      <c r="B86" s="89" t="s">
        <v>203</v>
      </c>
      <c r="C86" s="89"/>
      <c r="D86" s="87"/>
      <c r="E86" s="87"/>
      <c r="F86" s="87"/>
      <c r="G86" s="87"/>
      <c r="H86" s="87"/>
      <c r="I86" s="87"/>
      <c r="J86" s="87"/>
      <c r="K86" s="87"/>
      <c r="L86" s="87"/>
      <c r="M86" s="87"/>
      <c r="N86" s="87"/>
      <c r="O86" s="87"/>
      <c r="P86" s="87"/>
      <c r="Q86" s="87"/>
      <c r="R86" s="87"/>
      <c r="S86" s="88">
        <f t="shared" si="5"/>
        <v>0</v>
      </c>
    </row>
    <row r="87" spans="1:19" s="67" customFormat="1" ht="19.5" hidden="1" customHeight="1">
      <c r="A87" s="76"/>
      <c r="B87" s="89" t="s">
        <v>210</v>
      </c>
      <c r="C87" s="89"/>
      <c r="D87" s="87"/>
      <c r="E87" s="87"/>
      <c r="F87" s="87"/>
      <c r="G87" s="87"/>
      <c r="H87" s="87"/>
      <c r="I87" s="87"/>
      <c r="J87" s="87"/>
      <c r="K87" s="87"/>
      <c r="L87" s="87"/>
      <c r="M87" s="87"/>
      <c r="N87" s="87"/>
      <c r="O87" s="87"/>
      <c r="P87" s="87"/>
      <c r="Q87" s="87"/>
      <c r="R87" s="87"/>
      <c r="S87" s="88">
        <f t="shared" si="5"/>
        <v>0</v>
      </c>
    </row>
    <row r="88" spans="1:19" s="67" customFormat="1" ht="15.75" hidden="1">
      <c r="A88" s="65"/>
      <c r="B88" s="89" t="s">
        <v>204</v>
      </c>
      <c r="C88" s="89"/>
      <c r="D88" s="87"/>
      <c r="E88" s="87"/>
      <c r="F88" s="87"/>
      <c r="G88" s="87"/>
      <c r="H88" s="87"/>
      <c r="I88" s="87"/>
      <c r="J88" s="87"/>
      <c r="K88" s="87"/>
      <c r="L88" s="87"/>
      <c r="M88" s="87"/>
      <c r="N88" s="87"/>
      <c r="O88" s="87"/>
      <c r="P88" s="87"/>
      <c r="Q88" s="87"/>
      <c r="R88" s="87"/>
      <c r="S88" s="88">
        <f t="shared" si="5"/>
        <v>0</v>
      </c>
    </row>
    <row r="89" spans="1:19" s="67" customFormat="1" ht="15.75">
      <c r="A89" s="65"/>
      <c r="B89" s="89" t="s">
        <v>103</v>
      </c>
      <c r="C89" s="89"/>
      <c r="D89" s="87">
        <v>0</v>
      </c>
      <c r="E89" s="87"/>
      <c r="F89" s="87">
        <v>0</v>
      </c>
      <c r="G89" s="87"/>
      <c r="H89" s="87">
        <v>0</v>
      </c>
      <c r="I89" s="87"/>
      <c r="J89" s="87"/>
      <c r="K89" s="87">
        <v>1261837.45</v>
      </c>
      <c r="L89" s="87"/>
      <c r="M89" s="87">
        <v>0</v>
      </c>
      <c r="N89" s="87"/>
      <c r="O89" s="87">
        <v>0</v>
      </c>
      <c r="P89" s="87"/>
      <c r="Q89" s="87">
        <v>0</v>
      </c>
      <c r="R89" s="87"/>
      <c r="S89" s="88">
        <f t="shared" si="5"/>
        <v>1261837.45</v>
      </c>
    </row>
    <row r="90" spans="1:19" s="67" customFormat="1" ht="19.5" customHeight="1">
      <c r="A90" s="69"/>
      <c r="B90" s="89" t="s">
        <v>113</v>
      </c>
      <c r="C90" s="89"/>
      <c r="D90" s="87">
        <v>-38044.050000000003</v>
      </c>
      <c r="E90" s="87"/>
      <c r="F90" s="87">
        <v>0</v>
      </c>
      <c r="G90" s="87"/>
      <c r="H90" s="87">
        <v>-1775366.33</v>
      </c>
      <c r="I90" s="87"/>
      <c r="J90" s="87"/>
      <c r="K90" s="87">
        <v>-7344167.75</v>
      </c>
      <c r="L90" s="87"/>
      <c r="M90" s="87">
        <v>-451843.13</v>
      </c>
      <c r="N90" s="87"/>
      <c r="O90" s="87">
        <v>-995839.85</v>
      </c>
      <c r="P90" s="87"/>
      <c r="Q90" s="87">
        <v>0</v>
      </c>
      <c r="R90" s="87"/>
      <c r="S90" s="88">
        <f t="shared" si="5"/>
        <v>-10605261.110000001</v>
      </c>
    </row>
    <row r="91" spans="1:19" s="67" customFormat="1" ht="19.5" customHeight="1" thickBot="1">
      <c r="A91" s="69"/>
      <c r="B91" s="78" t="s">
        <v>207</v>
      </c>
      <c r="C91" s="78"/>
      <c r="D91" s="92">
        <f>SUM(D80:D90)</f>
        <v>703369.71999999986</v>
      </c>
      <c r="E91" s="88"/>
      <c r="F91" s="92">
        <f t="shared" ref="F91:S91" si="6">SUM(F80:F90)</f>
        <v>5370370.709999999</v>
      </c>
      <c r="G91" s="92">
        <f t="shared" si="6"/>
        <v>0</v>
      </c>
      <c r="H91" s="92">
        <f t="shared" si="6"/>
        <v>50060162.00999999</v>
      </c>
      <c r="I91" s="92">
        <f t="shared" si="6"/>
        <v>0</v>
      </c>
      <c r="J91" s="92">
        <f t="shared" si="6"/>
        <v>0</v>
      </c>
      <c r="K91" s="92">
        <f t="shared" si="6"/>
        <v>156782394.62999997</v>
      </c>
      <c r="L91" s="92">
        <f t="shared" si="6"/>
        <v>0</v>
      </c>
      <c r="M91" s="92">
        <f t="shared" si="6"/>
        <v>1243649.1500000004</v>
      </c>
      <c r="N91" s="92">
        <f t="shared" si="6"/>
        <v>0</v>
      </c>
      <c r="O91" s="92">
        <f t="shared" si="6"/>
        <v>8529408.9500000011</v>
      </c>
      <c r="P91" s="92">
        <f t="shared" si="6"/>
        <v>0</v>
      </c>
      <c r="Q91" s="92">
        <f t="shared" si="6"/>
        <v>10781173.899999999</v>
      </c>
      <c r="R91" s="92">
        <f t="shared" si="6"/>
        <v>0</v>
      </c>
      <c r="S91" s="92">
        <f t="shared" si="6"/>
        <v>233470529.06999996</v>
      </c>
    </row>
    <row r="92" spans="1:19" s="67" customFormat="1" ht="19.5" customHeight="1" thickTop="1">
      <c r="A92" s="72"/>
      <c r="B92" s="97"/>
      <c r="C92" s="97"/>
      <c r="D92" s="98"/>
      <c r="E92" s="98"/>
      <c r="F92" s="98"/>
      <c r="G92" s="98"/>
      <c r="H92" s="98"/>
      <c r="I92" s="98"/>
      <c r="J92" s="98"/>
      <c r="K92" s="98"/>
      <c r="L92" s="98"/>
      <c r="M92" s="98"/>
      <c r="N92" s="98"/>
      <c r="O92" s="98"/>
      <c r="P92" s="98"/>
      <c r="Q92" s="98"/>
      <c r="R92" s="98"/>
      <c r="S92" s="99"/>
    </row>
    <row r="93" spans="1:19" s="67" customFormat="1" ht="19.5" customHeight="1">
      <c r="A93" s="74"/>
      <c r="B93" s="97"/>
      <c r="C93" s="97"/>
      <c r="D93" s="98"/>
      <c r="E93" s="98"/>
      <c r="F93" s="98"/>
      <c r="G93" s="98"/>
      <c r="H93" s="98"/>
      <c r="I93" s="98"/>
      <c r="J93" s="98"/>
      <c r="K93" s="98"/>
      <c r="L93" s="98"/>
      <c r="M93" s="98"/>
      <c r="N93" s="98"/>
      <c r="O93" s="98"/>
      <c r="P93" s="98"/>
      <c r="Q93" s="98"/>
      <c r="R93" s="98"/>
      <c r="S93" s="99"/>
    </row>
    <row r="94" spans="1:19" s="67" customFormat="1" ht="19.5" hidden="1" customHeight="1">
      <c r="A94" s="74"/>
      <c r="B94" s="66" t="s">
        <v>91</v>
      </c>
      <c r="C94" s="97"/>
      <c r="D94" s="98"/>
      <c r="E94" s="98"/>
      <c r="F94" s="98"/>
      <c r="G94" s="98"/>
      <c r="H94" s="98"/>
      <c r="I94" s="98"/>
      <c r="J94" s="98"/>
      <c r="K94" s="98"/>
      <c r="L94" s="98"/>
      <c r="M94" s="98"/>
      <c r="N94" s="98"/>
      <c r="O94" s="98"/>
      <c r="P94" s="98"/>
      <c r="Q94" s="98"/>
      <c r="R94" s="98"/>
      <c r="S94" s="99"/>
    </row>
    <row r="95" spans="1:19" s="67" customFormat="1" ht="19.5" hidden="1" customHeight="1">
      <c r="A95" s="74"/>
      <c r="B95" s="97"/>
      <c r="C95" s="97"/>
      <c r="D95" s="98"/>
      <c r="E95" s="98"/>
      <c r="F95" s="98"/>
      <c r="G95" s="98"/>
      <c r="H95" s="98"/>
      <c r="I95" s="98"/>
      <c r="J95" s="98"/>
      <c r="K95" s="98"/>
      <c r="L95" s="98"/>
      <c r="M95" s="98"/>
      <c r="N95" s="98"/>
      <c r="O95" s="98"/>
      <c r="P95" s="98"/>
      <c r="Q95" s="98"/>
      <c r="R95" s="98"/>
      <c r="S95" s="99"/>
    </row>
    <row r="96" spans="1:19" s="67" customFormat="1" ht="19.5" hidden="1" customHeight="1">
      <c r="A96" s="74"/>
      <c r="B96" s="78" t="s">
        <v>208</v>
      </c>
      <c r="C96" s="78"/>
      <c r="D96" s="87"/>
      <c r="E96" s="87"/>
      <c r="F96" s="87"/>
      <c r="G96" s="87"/>
      <c r="H96" s="87"/>
      <c r="I96" s="87"/>
      <c r="J96" s="87"/>
      <c r="K96" s="87"/>
      <c r="L96" s="87"/>
      <c r="M96" s="87"/>
      <c r="N96" s="87"/>
      <c r="O96" s="87"/>
      <c r="P96" s="87"/>
      <c r="Q96" s="87"/>
      <c r="R96" s="87"/>
      <c r="S96" s="88">
        <f t="shared" ref="S96:S104" si="7">SUM(D96:Q96)</f>
        <v>0</v>
      </c>
    </row>
    <row r="97" spans="1:20" s="67" customFormat="1" ht="19.5" hidden="1" customHeight="1">
      <c r="A97" s="74"/>
      <c r="B97" s="89" t="s">
        <v>77</v>
      </c>
      <c r="C97" s="89"/>
      <c r="D97" s="87"/>
      <c r="E97" s="87"/>
      <c r="F97" s="87"/>
      <c r="G97" s="87"/>
      <c r="H97" s="87"/>
      <c r="I97" s="87"/>
      <c r="J97" s="87"/>
      <c r="K97" s="87"/>
      <c r="L97" s="87"/>
      <c r="M97" s="87"/>
      <c r="N97" s="87"/>
      <c r="O97" s="87"/>
      <c r="P97" s="87"/>
      <c r="Q97" s="87"/>
      <c r="R97" s="87"/>
      <c r="S97" s="88">
        <f t="shared" si="7"/>
        <v>0</v>
      </c>
    </row>
    <row r="98" spans="1:20" s="67" customFormat="1" ht="19.5" hidden="1" customHeight="1">
      <c r="A98" s="74"/>
      <c r="B98" s="89" t="s">
        <v>23</v>
      </c>
      <c r="C98" s="89"/>
      <c r="D98" s="87"/>
      <c r="E98" s="87"/>
      <c r="F98" s="87"/>
      <c r="G98" s="87"/>
      <c r="H98" s="87"/>
      <c r="I98" s="87"/>
      <c r="J98" s="87"/>
      <c r="K98" s="87"/>
      <c r="L98" s="87"/>
      <c r="M98" s="87"/>
      <c r="N98" s="87"/>
      <c r="O98" s="87"/>
      <c r="P98" s="87"/>
      <c r="Q98" s="87"/>
      <c r="R98" s="87"/>
      <c r="S98" s="88">
        <f t="shared" si="7"/>
        <v>0</v>
      </c>
    </row>
    <row r="99" spans="1:20" s="67" customFormat="1" ht="19.5" hidden="1" customHeight="1">
      <c r="A99" s="74"/>
      <c r="B99" s="89" t="s">
        <v>201</v>
      </c>
      <c r="C99" s="89"/>
      <c r="D99" s="87"/>
      <c r="E99" s="87"/>
      <c r="F99" s="87"/>
      <c r="G99" s="87"/>
      <c r="H99" s="87"/>
      <c r="I99" s="87"/>
      <c r="J99" s="87"/>
      <c r="K99" s="87"/>
      <c r="L99" s="87"/>
      <c r="M99" s="87"/>
      <c r="N99" s="87"/>
      <c r="O99" s="87"/>
      <c r="P99" s="87"/>
      <c r="Q99" s="87"/>
      <c r="R99" s="87"/>
      <c r="S99" s="88">
        <f t="shared" si="7"/>
        <v>0</v>
      </c>
    </row>
    <row r="100" spans="1:20" s="67" customFormat="1" ht="19.5" hidden="1" customHeight="1">
      <c r="A100" s="74"/>
      <c r="B100" s="89" t="s">
        <v>202</v>
      </c>
      <c r="C100" s="89"/>
      <c r="D100" s="87"/>
      <c r="E100" s="87"/>
      <c r="F100" s="87"/>
      <c r="G100" s="87"/>
      <c r="H100" s="87"/>
      <c r="I100" s="87"/>
      <c r="J100" s="87"/>
      <c r="K100" s="87"/>
      <c r="L100" s="87"/>
      <c r="M100" s="87"/>
      <c r="N100" s="87"/>
      <c r="O100" s="87"/>
      <c r="P100" s="87"/>
      <c r="Q100" s="87"/>
      <c r="R100" s="87"/>
      <c r="S100" s="88">
        <f t="shared" si="7"/>
        <v>0</v>
      </c>
    </row>
    <row r="101" spans="1:20" s="67" customFormat="1" ht="19.5" hidden="1" customHeight="1">
      <c r="A101" s="74"/>
      <c r="B101" s="89" t="s">
        <v>203</v>
      </c>
      <c r="C101" s="89"/>
      <c r="D101" s="87"/>
      <c r="E101" s="87"/>
      <c r="F101" s="87"/>
      <c r="G101" s="87"/>
      <c r="H101" s="87"/>
      <c r="I101" s="87"/>
      <c r="J101" s="87"/>
      <c r="K101" s="87"/>
      <c r="L101" s="87"/>
      <c r="M101" s="87"/>
      <c r="N101" s="87"/>
      <c r="O101" s="87"/>
      <c r="P101" s="87"/>
      <c r="Q101" s="87"/>
      <c r="R101" s="87"/>
      <c r="S101" s="88">
        <f t="shared" si="7"/>
        <v>0</v>
      </c>
    </row>
    <row r="102" spans="1:20" s="67" customFormat="1" ht="19.5" hidden="1" customHeight="1">
      <c r="A102" s="74"/>
      <c r="B102" s="89" t="s">
        <v>27</v>
      </c>
      <c r="C102" s="89"/>
      <c r="D102" s="87"/>
      <c r="E102" s="87"/>
      <c r="F102" s="87"/>
      <c r="G102" s="87"/>
      <c r="H102" s="87"/>
      <c r="I102" s="87"/>
      <c r="J102" s="87"/>
      <c r="K102" s="87"/>
      <c r="L102" s="87"/>
      <c r="M102" s="87"/>
      <c r="N102" s="87"/>
      <c r="O102" s="87"/>
      <c r="P102" s="87"/>
      <c r="Q102" s="87"/>
      <c r="R102" s="87"/>
      <c r="S102" s="88">
        <f t="shared" si="7"/>
        <v>0</v>
      </c>
    </row>
    <row r="103" spans="1:20" s="67" customFormat="1" ht="19.5" hidden="1" customHeight="1">
      <c r="A103" s="72"/>
      <c r="B103" s="89" t="s">
        <v>204</v>
      </c>
      <c r="C103" s="89"/>
      <c r="D103" s="87"/>
      <c r="E103" s="87"/>
      <c r="F103" s="87"/>
      <c r="G103" s="87"/>
      <c r="H103" s="87"/>
      <c r="I103" s="87"/>
      <c r="J103" s="87"/>
      <c r="K103" s="87"/>
      <c r="L103" s="87"/>
      <c r="M103" s="87"/>
      <c r="N103" s="87"/>
      <c r="O103" s="87"/>
      <c r="P103" s="87"/>
      <c r="Q103" s="87"/>
      <c r="R103" s="87"/>
      <c r="S103" s="88">
        <f t="shared" si="7"/>
        <v>0</v>
      </c>
    </row>
    <row r="104" spans="1:20" s="67" customFormat="1" ht="19.5" hidden="1" customHeight="1">
      <c r="A104" s="72"/>
      <c r="B104" s="89" t="s">
        <v>113</v>
      </c>
      <c r="C104" s="89"/>
      <c r="D104" s="90"/>
      <c r="E104" s="87"/>
      <c r="F104" s="90"/>
      <c r="G104" s="87"/>
      <c r="H104" s="90"/>
      <c r="I104" s="87"/>
      <c r="J104" s="87"/>
      <c r="K104" s="90"/>
      <c r="L104" s="87"/>
      <c r="M104" s="90"/>
      <c r="N104" s="87"/>
      <c r="O104" s="90"/>
      <c r="P104" s="87"/>
      <c r="Q104" s="90"/>
      <c r="R104" s="87"/>
      <c r="S104" s="91">
        <f t="shared" si="7"/>
        <v>0</v>
      </c>
    </row>
    <row r="105" spans="1:20" s="67" customFormat="1" ht="19.5" hidden="1" customHeight="1" thickBot="1">
      <c r="A105" s="72"/>
      <c r="B105" s="78" t="s">
        <v>207</v>
      </c>
      <c r="C105" s="78"/>
      <c r="D105" s="96">
        <f>SUM(D96:D104)</f>
        <v>0</v>
      </c>
      <c r="E105" s="93"/>
      <c r="F105" s="92">
        <f>SUM(F96:F104)</f>
        <v>0</v>
      </c>
      <c r="G105" s="93"/>
      <c r="H105" s="92">
        <f>SUM(H96:H104)</f>
        <v>0</v>
      </c>
      <c r="I105" s="93">
        <f>SUM(I96:I104)</f>
        <v>0</v>
      </c>
      <c r="J105" s="93"/>
      <c r="K105" s="92">
        <f>SUM(K96:K104)</f>
        <v>0</v>
      </c>
      <c r="L105" s="93"/>
      <c r="M105" s="92">
        <f>SUM(M96:M104)</f>
        <v>0</v>
      </c>
      <c r="N105" s="93"/>
      <c r="O105" s="92">
        <f>SUM(O96:O104)</f>
        <v>0</v>
      </c>
      <c r="P105" s="93"/>
      <c r="Q105" s="92">
        <f>SUM(Q96:Q104)</f>
        <v>0</v>
      </c>
      <c r="R105" s="93"/>
      <c r="S105" s="92">
        <f>SUM(S96:S104)</f>
        <v>0</v>
      </c>
      <c r="T105" s="72"/>
    </row>
    <row r="106" spans="1:20" s="67" customFormat="1" ht="19.5" hidden="1" customHeight="1" thickTop="1">
      <c r="A106" s="72"/>
      <c r="B106" s="105"/>
      <c r="C106" s="105"/>
      <c r="D106" s="103"/>
      <c r="E106" s="103"/>
      <c r="F106" s="103"/>
      <c r="G106" s="103"/>
      <c r="H106" s="103"/>
      <c r="I106" s="103"/>
      <c r="J106" s="103"/>
      <c r="K106" s="103"/>
      <c r="L106" s="103"/>
      <c r="M106" s="103"/>
      <c r="N106" s="103"/>
      <c r="O106" s="103"/>
      <c r="P106" s="103"/>
      <c r="Q106" s="103"/>
      <c r="R106" s="103"/>
      <c r="S106" s="98"/>
      <c r="T106" s="72"/>
    </row>
    <row r="107" spans="1:20" s="67" customFormat="1" ht="19.5" customHeight="1">
      <c r="A107" s="72"/>
      <c r="B107" s="78" t="s">
        <v>229</v>
      </c>
      <c r="C107" s="89"/>
      <c r="D107" s="103"/>
      <c r="E107" s="103"/>
      <c r="F107" s="103"/>
      <c r="G107" s="103"/>
      <c r="H107" s="103"/>
      <c r="I107" s="103"/>
      <c r="J107" s="103"/>
      <c r="K107" s="103"/>
      <c r="L107" s="103"/>
      <c r="M107" s="103"/>
      <c r="N107" s="103"/>
      <c r="O107" s="103"/>
      <c r="P107" s="103"/>
      <c r="Q107" s="103"/>
      <c r="R107" s="103"/>
      <c r="S107" s="98"/>
      <c r="T107" s="72"/>
    </row>
    <row r="108" spans="1:20" s="67" customFormat="1" ht="15.75">
      <c r="A108" s="72"/>
      <c r="B108" s="89" t="s">
        <v>172</v>
      </c>
      <c r="C108" s="89"/>
      <c r="D108" s="87">
        <v>980257.74</v>
      </c>
      <c r="E108" s="87"/>
      <c r="F108" s="87">
        <v>5370370.71</v>
      </c>
      <c r="G108" s="87"/>
      <c r="H108" s="87">
        <v>79219474.439999998</v>
      </c>
      <c r="I108" s="87"/>
      <c r="J108" s="87"/>
      <c r="K108" s="87">
        <v>241016534.53</v>
      </c>
      <c r="L108" s="87"/>
      <c r="M108" s="87">
        <v>6192727.8600000003</v>
      </c>
      <c r="N108" s="87"/>
      <c r="O108" s="87">
        <v>18685453.66</v>
      </c>
      <c r="P108" s="87"/>
      <c r="Q108" s="87">
        <v>10781173.9</v>
      </c>
      <c r="R108" s="87"/>
      <c r="S108" s="87">
        <f>SUM(D108:Q108)</f>
        <v>362245992.84000003</v>
      </c>
      <c r="T108" s="72"/>
    </row>
    <row r="109" spans="1:20" s="67" customFormat="1" ht="19.5" customHeight="1">
      <c r="B109" s="89" t="s">
        <v>76</v>
      </c>
      <c r="C109" s="78"/>
      <c r="D109" s="87">
        <f>-275626.27-1261.75</f>
        <v>-276888.02</v>
      </c>
      <c r="E109" s="87"/>
      <c r="F109" s="87">
        <v>0</v>
      </c>
      <c r="G109" s="87"/>
      <c r="H109" s="87">
        <f>-28806407.54-352904.89</f>
        <v>-29159312.43</v>
      </c>
      <c r="I109" s="87"/>
      <c r="J109" s="87"/>
      <c r="K109" s="87">
        <f>-83819606.62-414533.23</f>
        <v>-84234139.850000009</v>
      </c>
      <c r="L109" s="87"/>
      <c r="M109" s="87">
        <f>-4866425.79-82652.92</f>
        <v>-4949078.71</v>
      </c>
      <c r="N109" s="87"/>
      <c r="O109" s="87">
        <f>-10294343.38+138298.67</f>
        <v>-10156044.710000001</v>
      </c>
      <c r="P109" s="87"/>
      <c r="Q109" s="87">
        <v>0</v>
      </c>
      <c r="R109" s="87"/>
      <c r="S109" s="87">
        <f>SUM(D109:Q109)</f>
        <v>-128775463.72</v>
      </c>
    </row>
    <row r="110" spans="1:20" s="67" customFormat="1" ht="19.5" customHeight="1" thickBot="1">
      <c r="B110" s="78" t="s">
        <v>209</v>
      </c>
      <c r="C110" s="89"/>
      <c r="D110" s="101">
        <f>SUM(D108:D109)</f>
        <v>703369.72</v>
      </c>
      <c r="E110" s="87"/>
      <c r="F110" s="101">
        <f>SUM(F108:F109)</f>
        <v>5370370.71</v>
      </c>
      <c r="G110" s="87"/>
      <c r="H110" s="101">
        <f>SUM(H108:H109)</f>
        <v>50060162.009999998</v>
      </c>
      <c r="I110" s="87"/>
      <c r="J110" s="87"/>
      <c r="K110" s="101">
        <f>SUM(K108:K109)</f>
        <v>156782394.68000001</v>
      </c>
      <c r="L110" s="87"/>
      <c r="M110" s="101">
        <f>SUM(M108:M109)</f>
        <v>1243649.1500000004</v>
      </c>
      <c r="N110" s="87"/>
      <c r="O110" s="101">
        <f>SUM(O108:O109)</f>
        <v>8529408.9499999993</v>
      </c>
      <c r="P110" s="87"/>
      <c r="Q110" s="101">
        <f>SUM(Q108:Q109)</f>
        <v>10781173.9</v>
      </c>
      <c r="R110" s="87"/>
      <c r="S110" s="101">
        <f>SUM(S108:S109)</f>
        <v>233470529.12000003</v>
      </c>
    </row>
    <row r="111" spans="1:20" s="67" customFormat="1" ht="19.5" customHeight="1" thickTop="1">
      <c r="B111" s="75"/>
      <c r="C111" s="75"/>
      <c r="D111" s="75"/>
      <c r="E111" s="75"/>
      <c r="F111" s="75"/>
      <c r="G111" s="75"/>
      <c r="H111" s="75"/>
      <c r="I111" s="75"/>
      <c r="J111" s="75"/>
      <c r="K111" s="75"/>
      <c r="L111" s="75"/>
      <c r="M111" s="75"/>
      <c r="N111" s="75"/>
      <c r="O111" s="75"/>
      <c r="P111" s="75"/>
      <c r="Q111" s="75"/>
      <c r="R111" s="75"/>
      <c r="S111" s="75"/>
    </row>
    <row r="112" spans="1:20" s="60" customFormat="1" ht="19.5" customHeight="1">
      <c r="B112" s="632" t="s">
        <v>100</v>
      </c>
      <c r="C112" s="632"/>
      <c r="D112" s="632"/>
      <c r="E112" s="632"/>
      <c r="F112" s="632"/>
      <c r="G112" s="632"/>
      <c r="H112" s="632"/>
      <c r="I112" s="632"/>
      <c r="J112" s="632"/>
      <c r="K112" s="632"/>
      <c r="L112" s="632"/>
      <c r="M112" s="632"/>
      <c r="N112" s="632"/>
      <c r="O112" s="632"/>
      <c r="P112" s="632"/>
      <c r="Q112" s="632"/>
      <c r="R112" s="632"/>
      <c r="S112" s="632"/>
    </row>
    <row r="113" spans="2:3" s="60" customFormat="1" ht="19.5" customHeight="1"/>
    <row r="114" spans="2:3" s="60" customFormat="1" ht="19.5" customHeight="1">
      <c r="B114" s="78"/>
      <c r="C114" s="78"/>
    </row>
    <row r="115" spans="2:3" s="60" customFormat="1"/>
    <row r="116" spans="2:3" s="60" customFormat="1"/>
    <row r="117" spans="2:3" s="60" customFormat="1"/>
    <row r="118" spans="2:3" s="60" customFormat="1"/>
  </sheetData>
  <mergeCells count="1">
    <mergeCell ref="B112:S112"/>
  </mergeCells>
  <phoneticPr fontId="0" type="noConversion"/>
  <printOptions horizontalCentered="1"/>
  <pageMargins left="0" right="0" top="0" bottom="0" header="0" footer="0"/>
  <pageSetup paperSize="9" scale="62" orientation="landscape" r:id="rId1"/>
  <headerFooter alignWithMargins="0">
    <oddFooter>&amp;L&amp;"Times New Roman Greek,Italic"&amp;11Draft for discussion purposes only&amp;R30</oddFooter>
  </headerFooter>
  <rowBreaks count="1" manualBreakCount="1">
    <brk id="76" max="19" man="1"/>
  </rowBreaks>
  <ignoredErrors>
    <ignoredError sqref="D11 M37:S38 H13 D39:S39 K13 M11 M13 O11 O13 D73 F73 H73 K73 M73 O73 Q73 Q110 D110:O110 H83 D83 D109:Q109 D81:F81 K83 M83 O83 L44:O44 S71:S73 D72:O72 S108:S110 D80:J80 L80:S80 D44:J44" unlockedFormula="1"/>
  </ignoredErrors>
  <legacyDrawing r:id="rId2"/>
</worksheet>
</file>

<file path=xl/worksheets/sheet6.xml><?xml version="1.0" encoding="utf-8"?>
<worksheet xmlns="http://schemas.openxmlformats.org/spreadsheetml/2006/main" xmlns:r="http://schemas.openxmlformats.org/officeDocument/2006/relationships">
  <sheetPr>
    <pageSetUpPr fitToPage="1"/>
  </sheetPr>
  <dimension ref="A2:J14"/>
  <sheetViews>
    <sheetView showGridLines="0" zoomScaleNormal="100" workbookViewId="0">
      <selection activeCell="A2" sqref="A2:I14"/>
    </sheetView>
  </sheetViews>
  <sheetFormatPr defaultColWidth="10.6640625" defaultRowHeight="12.75"/>
  <cols>
    <col min="1" max="1" width="5.83203125" style="106" bestFit="1" customWidth="1"/>
    <col min="2" max="2" width="55" style="106" customWidth="1"/>
    <col min="3" max="3" width="12.5" style="106" customWidth="1"/>
    <col min="4" max="4" width="5" style="106" customWidth="1"/>
    <col min="5" max="5" width="11.83203125" style="106" customWidth="1"/>
    <col min="6" max="6" width="2.83203125" style="106" customWidth="1"/>
    <col min="7" max="7" width="11.5" style="106" customWidth="1"/>
    <col min="8" max="8" width="3.1640625" style="106" customWidth="1"/>
    <col min="9" max="9" width="13" style="106" bestFit="1" customWidth="1"/>
    <col min="10" max="16384" width="10.6640625" style="106"/>
  </cols>
  <sheetData>
    <row r="2" spans="1:10" ht="19.5">
      <c r="A2" s="108">
        <v>10</v>
      </c>
      <c r="B2" s="109" t="s">
        <v>370</v>
      </c>
      <c r="C2" s="109"/>
      <c r="D2" s="109"/>
      <c r="E2" s="109"/>
      <c r="F2" s="110"/>
      <c r="G2" s="110"/>
      <c r="H2" s="110"/>
      <c r="I2" s="110"/>
    </row>
    <row r="3" spans="1:10" ht="19.5" customHeight="1">
      <c r="B3" s="111"/>
      <c r="C3" s="634" t="s">
        <v>1</v>
      </c>
      <c r="D3" s="634"/>
      <c r="E3" s="634"/>
      <c r="F3" s="208"/>
      <c r="G3" s="634" t="s">
        <v>2</v>
      </c>
      <c r="H3" s="635"/>
      <c r="I3" s="635"/>
    </row>
    <row r="4" spans="1:10" ht="15.75">
      <c r="B4" s="68"/>
      <c r="C4" s="241">
        <v>2002</v>
      </c>
      <c r="D4" s="4"/>
      <c r="E4" s="241">
        <v>2001</v>
      </c>
      <c r="G4" s="241">
        <v>2002</v>
      </c>
      <c r="H4" s="4"/>
      <c r="I4" s="241">
        <v>2001</v>
      </c>
    </row>
    <row r="5" spans="1:10" ht="15.75">
      <c r="B5" s="68"/>
      <c r="C5" s="243" t="s">
        <v>378</v>
      </c>
      <c r="D5" s="68"/>
      <c r="E5" s="243" t="s">
        <v>378</v>
      </c>
      <c r="F5" s="68"/>
      <c r="G5" s="243" t="s">
        <v>378</v>
      </c>
      <c r="H5" s="56"/>
      <c r="I5" s="243" t="s">
        <v>378</v>
      </c>
    </row>
    <row r="6" spans="1:10" ht="6.75" customHeight="1">
      <c r="B6" s="68"/>
      <c r="C6" s="68"/>
      <c r="D6" s="68"/>
      <c r="E6" s="68"/>
      <c r="F6" s="68"/>
      <c r="G6" s="56"/>
      <c r="H6" s="56"/>
      <c r="I6" s="56"/>
    </row>
    <row r="7" spans="1:10" s="114" customFormat="1" ht="15" customHeight="1">
      <c r="A7" s="112"/>
      <c r="B7" s="261" t="s">
        <v>80</v>
      </c>
      <c r="C7" s="262">
        <v>0</v>
      </c>
      <c r="D7" s="262"/>
      <c r="E7" s="262">
        <v>0</v>
      </c>
      <c r="F7" s="263"/>
      <c r="G7" s="264">
        <v>6154547.8799999999</v>
      </c>
      <c r="H7" s="265"/>
      <c r="I7" s="264">
        <v>6336308.0499999998</v>
      </c>
    </row>
    <row r="8" spans="1:10" s="114" customFormat="1" ht="15">
      <c r="A8" s="112"/>
      <c r="B8" s="266" t="s">
        <v>24</v>
      </c>
      <c r="C8" s="267">
        <v>0</v>
      </c>
      <c r="D8" s="267"/>
      <c r="E8" s="267">
        <v>0</v>
      </c>
      <c r="F8" s="266"/>
      <c r="G8" s="268">
        <v>0</v>
      </c>
      <c r="H8" s="265"/>
      <c r="I8" s="265">
        <v>-181760.17</v>
      </c>
    </row>
    <row r="9" spans="1:10" hidden="1">
      <c r="A9" s="116"/>
      <c r="B9" s="266" t="s">
        <v>247</v>
      </c>
      <c r="C9" s="267"/>
      <c r="D9" s="267"/>
      <c r="E9" s="267"/>
      <c r="F9" s="266"/>
      <c r="G9" s="269"/>
      <c r="H9" s="269"/>
      <c r="I9" s="265"/>
    </row>
    <row r="10" spans="1:10" hidden="1">
      <c r="A10" s="116"/>
      <c r="B10" s="266" t="s">
        <v>248</v>
      </c>
      <c r="C10" s="267"/>
      <c r="D10" s="267"/>
      <c r="E10" s="267"/>
      <c r="F10" s="266"/>
      <c r="G10" s="265"/>
      <c r="H10" s="265"/>
      <c r="I10" s="265"/>
    </row>
    <row r="11" spans="1:10" hidden="1">
      <c r="A11" s="116"/>
      <c r="B11" s="266" t="s">
        <v>211</v>
      </c>
      <c r="C11" s="267"/>
      <c r="D11" s="267"/>
      <c r="E11" s="267"/>
      <c r="F11" s="266"/>
      <c r="G11" s="265"/>
      <c r="H11" s="265"/>
      <c r="I11" s="265"/>
    </row>
    <row r="12" spans="1:10" ht="12" customHeight="1">
      <c r="A12" s="116"/>
      <c r="B12" s="266" t="s">
        <v>25</v>
      </c>
      <c r="C12" s="270">
        <v>0</v>
      </c>
      <c r="D12" s="267"/>
      <c r="E12" s="270">
        <v>0</v>
      </c>
      <c r="F12" s="266"/>
      <c r="G12" s="264">
        <v>-28217.96</v>
      </c>
      <c r="H12" s="265"/>
      <c r="I12" s="264">
        <v>0</v>
      </c>
    </row>
    <row r="13" spans="1:10" s="114" customFormat="1" ht="20.25" customHeight="1">
      <c r="A13" s="112"/>
      <c r="B13" s="266" t="s">
        <v>79</v>
      </c>
      <c r="C13" s="270">
        <v>0</v>
      </c>
      <c r="D13" s="267"/>
      <c r="E13" s="271">
        <v>0</v>
      </c>
      <c r="F13" s="272"/>
      <c r="G13" s="135">
        <f>SUM(G7:G12)</f>
        <v>6126329.9199999999</v>
      </c>
      <c r="H13" s="70"/>
      <c r="I13" s="135">
        <f>SUM(I7:I12)</f>
        <v>6154547.8799999999</v>
      </c>
    </row>
    <row r="14" spans="1:10" s="114" customFormat="1" ht="61.5" customHeight="1">
      <c r="A14" s="112"/>
      <c r="B14" s="633" t="s">
        <v>195</v>
      </c>
      <c r="C14" s="633"/>
      <c r="D14" s="633"/>
      <c r="E14" s="633"/>
      <c r="F14" s="633"/>
      <c r="G14" s="633"/>
      <c r="H14" s="633"/>
      <c r="I14" s="633"/>
      <c r="J14" s="189"/>
    </row>
  </sheetData>
  <customSheetViews>
    <customSheetView guid="{FEB6A96D-6D61-4258-8225-865A529D5565}" showGridLines="0" fitToPage="1" hiddenRows="1" showRuler="0">
      <selection activeCell="B15" sqref="B15"/>
      <pageMargins left="0.23622047244094491" right="0" top="0.98425196850393704" bottom="0.16"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3">
    <mergeCell ref="B14:I14"/>
    <mergeCell ref="C3:E3"/>
    <mergeCell ref="G3:I3"/>
  </mergeCells>
  <phoneticPr fontId="0" type="noConversion"/>
  <dataValidations count="3">
    <dataValidation allowBlank="1" showInputMessage="1" showErrorMessage="1" prompt="εισάγετε τα ποσό με ΘΕΤΙΚΟ πρόσημο αν είναι κέρδος_x000a_με ΑΡΝΗΤΙΚΟ αν είναι ζημιά" sqref="G8:I8"/>
    <dataValidation type="decimal" operator="greaterThan" allowBlank="1" showInputMessage="1" showErrorMessage="1" errorTitle="Λάθος Καταχώρηση" error="Μόνο θετικά ποσά" prompt="εισάγετε το ποσό με ΘΕΤΙΚΟ πρόσημο" sqref="G9:I9">
      <formula1>0</formula1>
    </dataValidation>
    <dataValidation type="decimal" operator="lessThan" allowBlank="1" showInputMessage="1" showErrorMessage="1" errorTitle="Λάθος Καταχώρηση" error="Μόνο θετικά ποσά" prompt="εισάγετε το ποσό με ΑΡΝΗΤΙΚΟ πρόσημο" sqref="G10:I10">
      <formula1>0</formula1>
    </dataValidation>
  </dataValidations>
  <printOptions horizontalCentered="1"/>
  <pageMargins left="0.73619999999999997" right="0" top="0.98419999999999996" bottom="0.16" header="0.433" footer="0"/>
  <pageSetup paperSize="9" scale="79" orientation="portrait" draft="1" r:id="rId2"/>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2:K32"/>
  <sheetViews>
    <sheetView showGridLines="0" topLeftCell="A9" zoomScaleNormal="100" workbookViewId="0">
      <selection activeCell="A4" sqref="A4:J18"/>
    </sheetView>
  </sheetViews>
  <sheetFormatPr defaultColWidth="10.6640625" defaultRowHeight="12.75"/>
  <cols>
    <col min="1" max="1" width="5.6640625" style="58" bestFit="1" customWidth="1"/>
    <col min="2" max="2" width="28" style="58" customWidth="1"/>
    <col min="3" max="3" width="17" style="58" customWidth="1"/>
    <col min="4" max="4" width="2.5" style="58" customWidth="1"/>
    <col min="5" max="5" width="15.33203125" style="58" customWidth="1"/>
    <col min="6" max="6" width="2.6640625" style="58" customWidth="1"/>
    <col min="7" max="7" width="13" style="58" bestFit="1" customWidth="1"/>
    <col min="8" max="8" width="3.5" style="58" customWidth="1"/>
    <col min="9" max="9" width="13" style="58" bestFit="1" customWidth="1"/>
    <col min="10" max="11" width="15" style="58" customWidth="1"/>
    <col min="12" max="16384" width="10.6640625" style="58"/>
  </cols>
  <sheetData>
    <row r="2" spans="1:11" ht="12.75" customHeight="1"/>
    <row r="3" spans="1:11" ht="6" customHeight="1">
      <c r="B3" s="120"/>
      <c r="C3" s="120"/>
      <c r="D3" s="120"/>
      <c r="E3" s="120"/>
      <c r="F3" s="120"/>
      <c r="G3" s="72"/>
      <c r="H3" s="72"/>
    </row>
    <row r="4" spans="1:11" ht="24.75" customHeight="1">
      <c r="A4" s="121">
        <v>12</v>
      </c>
      <c r="B4" s="636" t="s">
        <v>307</v>
      </c>
      <c r="C4" s="636"/>
      <c r="D4" s="636"/>
      <c r="E4" s="636"/>
      <c r="F4" s="636"/>
      <c r="G4" s="636"/>
      <c r="H4" s="636"/>
      <c r="I4" s="636"/>
      <c r="J4" s="122"/>
      <c r="K4" s="122"/>
    </row>
    <row r="5" spans="1:11" s="124" customFormat="1" ht="15">
      <c r="A5" s="123"/>
      <c r="B5" s="72"/>
      <c r="C5" s="72"/>
      <c r="D5" s="72"/>
      <c r="E5" s="72"/>
      <c r="F5" s="72"/>
      <c r="G5" s="72"/>
      <c r="H5" s="72"/>
      <c r="I5" s="72"/>
      <c r="J5" s="72"/>
      <c r="K5" s="72"/>
    </row>
    <row r="6" spans="1:11" s="124" customFormat="1" ht="15.75">
      <c r="A6" s="123"/>
      <c r="B6" s="72"/>
      <c r="C6" s="639" t="s">
        <v>1</v>
      </c>
      <c r="D6" s="639"/>
      <c r="E6" s="639"/>
      <c r="F6" s="97"/>
      <c r="G6" s="639" t="s">
        <v>2</v>
      </c>
      <c r="H6" s="639"/>
      <c r="I6" s="639"/>
      <c r="J6" s="72"/>
      <c r="K6" s="72"/>
    </row>
    <row r="7" spans="1:11" s="125" customFormat="1" ht="15.75">
      <c r="A7" s="65"/>
      <c r="B7" s="66"/>
      <c r="C7" s="242">
        <v>2002</v>
      </c>
      <c r="D7" s="4"/>
      <c r="E7" s="242">
        <v>2001</v>
      </c>
      <c r="F7" s="71"/>
      <c r="G7" s="242">
        <v>2002</v>
      </c>
      <c r="H7" s="4"/>
      <c r="I7" s="242">
        <v>2001</v>
      </c>
      <c r="J7" s="10"/>
      <c r="K7" s="10"/>
    </row>
    <row r="8" spans="1:11" s="125" customFormat="1" ht="15.75">
      <c r="A8" s="65"/>
      <c r="B8" s="66"/>
      <c r="C8" s="81" t="s">
        <v>378</v>
      </c>
      <c r="D8" s="66"/>
      <c r="E8" s="81" t="s">
        <v>378</v>
      </c>
      <c r="F8" s="71"/>
      <c r="G8" s="81" t="s">
        <v>378</v>
      </c>
      <c r="H8" s="4"/>
      <c r="I8" s="81" t="s">
        <v>378</v>
      </c>
      <c r="J8" s="10"/>
      <c r="K8" s="10"/>
    </row>
    <row r="9" spans="1:11" s="125" customFormat="1" ht="15.75">
      <c r="A9" s="65"/>
      <c r="B9" s="66"/>
      <c r="C9" s="66"/>
      <c r="D9" s="66"/>
      <c r="E9" s="66"/>
      <c r="F9" s="71"/>
      <c r="G9" s="54"/>
      <c r="H9" s="4"/>
      <c r="I9" s="54"/>
      <c r="J9" s="10"/>
      <c r="K9" s="10"/>
    </row>
    <row r="10" spans="1:11" s="125" customFormat="1" ht="15">
      <c r="A10" s="65"/>
      <c r="B10" s="153" t="s">
        <v>80</v>
      </c>
      <c r="C10" s="213">
        <v>5446096.6200000001</v>
      </c>
      <c r="D10" s="213"/>
      <c r="E10" s="213">
        <v>5030389.1500000004</v>
      </c>
      <c r="F10" s="273"/>
      <c r="G10" s="214">
        <v>1461158.08</v>
      </c>
      <c r="H10" s="274"/>
      <c r="I10" s="275">
        <v>823658.79</v>
      </c>
      <c r="J10" s="10"/>
      <c r="K10" s="10"/>
    </row>
    <row r="11" spans="1:11" s="125" customFormat="1" ht="15">
      <c r="A11" s="65"/>
      <c r="B11" s="153" t="s">
        <v>77</v>
      </c>
      <c r="C11" s="213">
        <v>4159488.63</v>
      </c>
      <c r="D11" s="213"/>
      <c r="E11" s="213">
        <v>33006136.66</v>
      </c>
      <c r="F11" s="273"/>
      <c r="G11" s="276">
        <v>183387.58</v>
      </c>
      <c r="H11" s="274"/>
      <c r="I11" s="275">
        <v>637499.29</v>
      </c>
      <c r="J11" s="10"/>
      <c r="K11" s="10"/>
    </row>
    <row r="12" spans="1:11" s="125" customFormat="1" ht="15">
      <c r="A12" s="65"/>
      <c r="B12" s="153" t="s">
        <v>78</v>
      </c>
      <c r="C12" s="55">
        <v>-2688243.57</v>
      </c>
      <c r="D12" s="213"/>
      <c r="E12" s="55">
        <v>-32590429</v>
      </c>
      <c r="F12" s="273"/>
      <c r="G12" s="276">
        <v>-706664.72</v>
      </c>
      <c r="H12" s="274"/>
      <c r="I12" s="275">
        <v>0</v>
      </c>
      <c r="J12" s="10"/>
      <c r="K12" s="10"/>
    </row>
    <row r="13" spans="1:11" s="125" customFormat="1" ht="12.75" customHeight="1">
      <c r="A13" s="65"/>
      <c r="B13" s="277"/>
      <c r="C13" s="214"/>
      <c r="D13" s="214"/>
      <c r="E13" s="214"/>
      <c r="F13" s="273"/>
      <c r="G13" s="278"/>
      <c r="H13" s="274"/>
      <c r="I13" s="279"/>
      <c r="J13" s="10"/>
      <c r="K13" s="10"/>
    </row>
    <row r="14" spans="1:11" s="67" customFormat="1" ht="15">
      <c r="A14" s="72"/>
      <c r="B14" s="153" t="s">
        <v>79</v>
      </c>
      <c r="C14" s="55">
        <f>SUM(C10:C13)</f>
        <v>6917341.6799999997</v>
      </c>
      <c r="D14" s="213"/>
      <c r="E14" s="55">
        <f>SUM(E10:E13)</f>
        <v>5446096.8100000024</v>
      </c>
      <c r="F14" s="280"/>
      <c r="G14" s="177">
        <f>SUM(G10:G12)</f>
        <v>937880.94000000018</v>
      </c>
      <c r="H14" s="176"/>
      <c r="I14" s="126">
        <f>SUM(I10:I12)</f>
        <v>1461158.08</v>
      </c>
      <c r="J14" s="73"/>
      <c r="K14" s="73"/>
    </row>
    <row r="15" spans="1:11" s="67" customFormat="1" ht="9.75" customHeight="1">
      <c r="A15" s="72"/>
      <c r="B15" s="57"/>
      <c r="C15" s="57"/>
      <c r="D15" s="57"/>
      <c r="E15" s="57"/>
      <c r="F15" s="72"/>
      <c r="G15" s="117"/>
      <c r="H15" s="117"/>
      <c r="I15" s="117"/>
      <c r="J15" s="73"/>
      <c r="K15" s="73"/>
    </row>
    <row r="16" spans="1:11">
      <c r="B16" s="59"/>
      <c r="C16" s="59"/>
      <c r="D16" s="59"/>
      <c r="E16" s="59"/>
      <c r="F16" s="59"/>
    </row>
    <row r="18" spans="2:11" ht="114.75" customHeight="1">
      <c r="B18" s="640" t="s">
        <v>29</v>
      </c>
      <c r="C18" s="640"/>
      <c r="D18" s="640"/>
      <c r="E18" s="640"/>
      <c r="F18" s="640"/>
      <c r="G18" s="640"/>
      <c r="H18" s="640"/>
      <c r="I18" s="640"/>
      <c r="J18" s="281"/>
      <c r="K18" s="281"/>
    </row>
    <row r="19" spans="2:11">
      <c r="B19" s="59"/>
      <c r="C19" s="59"/>
      <c r="D19" s="59"/>
      <c r="E19" s="59"/>
    </row>
    <row r="20" spans="2:11">
      <c r="B20" s="59"/>
      <c r="C20" s="59"/>
      <c r="D20" s="59"/>
      <c r="E20" s="59"/>
    </row>
    <row r="21" spans="2:11">
      <c r="B21" s="59"/>
      <c r="C21" s="59"/>
      <c r="D21" s="59"/>
      <c r="E21" s="59"/>
    </row>
    <row r="22" spans="2:11">
      <c r="B22" s="59"/>
      <c r="C22" s="59"/>
      <c r="D22" s="59"/>
      <c r="E22" s="59"/>
    </row>
    <row r="23" spans="2:11">
      <c r="B23" s="59"/>
      <c r="C23" s="59"/>
      <c r="D23" s="59"/>
      <c r="E23" s="59"/>
    </row>
    <row r="24" spans="2:11">
      <c r="B24" s="59"/>
      <c r="C24" s="59"/>
      <c r="D24" s="59"/>
      <c r="E24" s="59"/>
    </row>
    <row r="26" spans="2:11" ht="123.75" customHeight="1">
      <c r="B26" s="637"/>
      <c r="C26" s="637"/>
      <c r="D26" s="637"/>
      <c r="E26" s="637"/>
      <c r="F26" s="638"/>
      <c r="G26" s="638"/>
      <c r="H26" s="638"/>
      <c r="I26" s="638"/>
    </row>
    <row r="27" spans="2:11" ht="47.25" customHeight="1">
      <c r="B27" s="59"/>
      <c r="C27" s="59"/>
      <c r="D27" s="59"/>
      <c r="E27" s="59"/>
      <c r="F27" s="59"/>
      <c r="G27" s="59"/>
      <c r="H27" s="59"/>
      <c r="I27" s="59"/>
    </row>
    <row r="28" spans="2:11">
      <c r="B28" s="59"/>
      <c r="C28" s="59"/>
      <c r="D28" s="59"/>
      <c r="E28" s="59"/>
      <c r="F28" s="59"/>
      <c r="G28" s="59"/>
      <c r="H28" s="59"/>
      <c r="I28" s="59"/>
    </row>
    <row r="29" spans="2:11">
      <c r="B29" s="59"/>
      <c r="C29" s="59"/>
      <c r="D29" s="59"/>
      <c r="E29" s="59"/>
      <c r="F29" s="59"/>
      <c r="G29" s="59"/>
      <c r="H29" s="59"/>
      <c r="I29" s="59"/>
    </row>
    <row r="30" spans="2:11">
      <c r="B30" s="59"/>
      <c r="C30" s="59"/>
      <c r="D30" s="59"/>
      <c r="E30" s="59"/>
      <c r="F30" s="59"/>
      <c r="G30" s="59"/>
      <c r="H30" s="59"/>
      <c r="I30" s="59"/>
    </row>
    <row r="31" spans="2:11">
      <c r="B31" s="59"/>
      <c r="C31" s="59"/>
      <c r="D31" s="59"/>
      <c r="E31" s="59"/>
      <c r="F31" s="59"/>
      <c r="G31" s="59"/>
      <c r="H31" s="59"/>
      <c r="I31" s="59"/>
    </row>
    <row r="32" spans="2:11">
      <c r="B32" s="59"/>
      <c r="C32" s="59"/>
      <c r="D32" s="59"/>
      <c r="E32" s="59"/>
      <c r="F32" s="59"/>
      <c r="G32" s="59"/>
      <c r="H32" s="59"/>
      <c r="I32" s="59"/>
    </row>
  </sheetData>
  <customSheetViews>
    <customSheetView guid="{FEB6A96D-6D61-4258-8225-865A529D5565}" showGridLines="0" fitToPage="1" hiddenRows="1" showRuler="0">
      <selection activeCell="B11" sqref="B11"/>
      <pageMargins left="0" right="0" top="0.98425196850393704" bottom="0"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5">
    <mergeCell ref="B4:I4"/>
    <mergeCell ref="B26:I26"/>
    <mergeCell ref="C6:E6"/>
    <mergeCell ref="G6:I6"/>
    <mergeCell ref="B18:I18"/>
  </mergeCells>
  <phoneticPr fontId="0" type="noConversion"/>
  <dataValidations disablePrompts="1" count="1">
    <dataValidation allowBlank="1" showInputMessage="1" showErrorMessage="1" promptTitle="Εισαγωγή ιστορικής ισοτιμίας" prompt="Εισάγετε την ιστορική ισοτιμία κτήσης της επένδυσης (σε τρία δεκαδικά)... Εισάγετε 1 εάν πρόκειται για Ευρώ!" sqref="H7:H13 D7"/>
  </dataValidations>
  <printOptions horizontalCentered="1"/>
  <pageMargins left="0.73619999999999997" right="0" top="0.98419999999999996" bottom="0.16" header="0.433" footer="0"/>
  <pageSetup paperSize="9" scale="79" orientation="portrait" draft="1" r:id="rId2"/>
  <headerFooter alignWithMargins="0">
    <oddHeader>&amp;L&amp;14Notes to the annual financial statements for the year ended 31 December 2002</oddHeader>
    <oddFooter>&amp;L&amp;"Times New Roman Greek,Italic"&amp;11Draft for discussion purposes only</oddFooter>
  </headerFooter>
</worksheet>
</file>

<file path=xl/worksheets/sheet8.xml><?xml version="1.0" encoding="utf-8"?>
<worksheet xmlns="http://schemas.openxmlformats.org/spreadsheetml/2006/main" xmlns:r="http://schemas.openxmlformats.org/officeDocument/2006/relationships">
  <sheetPr>
    <pageSetUpPr fitToPage="1"/>
  </sheetPr>
  <dimension ref="A3:I44"/>
  <sheetViews>
    <sheetView showGridLines="0" topLeftCell="A6" zoomScaleNormal="100" workbookViewId="0">
      <selection activeCell="A3" sqref="A3:I27"/>
    </sheetView>
  </sheetViews>
  <sheetFormatPr defaultColWidth="10.6640625" defaultRowHeight="12.75"/>
  <cols>
    <col min="1" max="1" width="5.83203125" style="106" customWidth="1"/>
    <col min="2" max="2" width="53.5" style="106" customWidth="1"/>
    <col min="3" max="3" width="19.5" style="106" customWidth="1"/>
    <col min="4" max="4" width="3.1640625" style="106" customWidth="1"/>
    <col min="5" max="5" width="18.1640625" style="106" bestFit="1" customWidth="1"/>
    <col min="6" max="6" width="2.1640625" style="106" customWidth="1"/>
    <col min="7" max="7" width="14.6640625" style="106" bestFit="1" customWidth="1"/>
    <col min="8" max="8" width="3.6640625" style="106" customWidth="1"/>
    <col min="9" max="9" width="14.6640625" style="106" bestFit="1" customWidth="1"/>
    <col min="10" max="16384" width="10.6640625" style="106"/>
  </cols>
  <sheetData>
    <row r="3" spans="1:9" s="114" customFormat="1" ht="18.75">
      <c r="A3" s="128">
        <v>14</v>
      </c>
      <c r="B3" s="119" t="s">
        <v>241</v>
      </c>
      <c r="C3" s="119"/>
      <c r="D3" s="119"/>
      <c r="E3" s="119"/>
      <c r="F3" s="119"/>
      <c r="G3" s="641"/>
      <c r="H3" s="641"/>
      <c r="I3" s="641"/>
    </row>
    <row r="4" spans="1:9" s="114" customFormat="1" ht="18.75">
      <c r="A4" s="128"/>
      <c r="B4" s="119"/>
      <c r="C4" s="119"/>
      <c r="D4" s="119"/>
      <c r="E4" s="119"/>
      <c r="F4" s="119"/>
      <c r="G4" s="115"/>
      <c r="H4" s="115"/>
      <c r="I4" s="115"/>
    </row>
    <row r="5" spans="1:9" s="114" customFormat="1" ht="18.75">
      <c r="A5" s="128"/>
      <c r="B5" s="119"/>
      <c r="C5" s="634" t="s">
        <v>1</v>
      </c>
      <c r="D5" s="634"/>
      <c r="E5" s="634"/>
      <c r="F5" s="208"/>
      <c r="G5" s="644" t="s">
        <v>2</v>
      </c>
      <c r="H5" s="644"/>
      <c r="I5" s="644"/>
    </row>
    <row r="6" spans="1:9" s="114" customFormat="1" ht="15.75">
      <c r="A6" s="112"/>
      <c r="B6" s="132"/>
      <c r="C6" s="4">
        <v>2002</v>
      </c>
      <c r="D6" s="56"/>
      <c r="E6" s="4">
        <v>2001</v>
      </c>
      <c r="F6" s="132"/>
      <c r="G6" s="4">
        <v>2002</v>
      </c>
      <c r="H6" s="56"/>
      <c r="I6" s="4">
        <v>2001</v>
      </c>
    </row>
    <row r="7" spans="1:9" s="114" customFormat="1" ht="15.75">
      <c r="A7" s="112"/>
      <c r="B7" s="132"/>
      <c r="C7" s="164" t="s">
        <v>378</v>
      </c>
      <c r="D7" s="132"/>
      <c r="E7" s="164" t="s">
        <v>378</v>
      </c>
      <c r="F7" s="132"/>
      <c r="G7" s="164" t="s">
        <v>378</v>
      </c>
      <c r="H7" s="56"/>
      <c r="I7" s="164" t="s">
        <v>378</v>
      </c>
    </row>
    <row r="8" spans="1:9" s="114" customFormat="1" ht="15.75">
      <c r="A8" s="112"/>
      <c r="B8" s="132" t="s">
        <v>242</v>
      </c>
      <c r="C8" s="132"/>
      <c r="D8" s="132"/>
      <c r="E8" s="132"/>
      <c r="F8" s="132"/>
      <c r="G8" s="56"/>
      <c r="H8" s="56"/>
      <c r="I8" s="56"/>
    </row>
    <row r="9" spans="1:9" s="114" customFormat="1" ht="15">
      <c r="A9" s="112"/>
      <c r="B9" s="266" t="s">
        <v>81</v>
      </c>
      <c r="C9" s="214">
        <v>18212521.280000001</v>
      </c>
      <c r="D9" s="214"/>
      <c r="E9" s="214">
        <v>19703835.850000001</v>
      </c>
      <c r="F9" s="266"/>
      <c r="G9" s="265">
        <v>6809573.8799999999</v>
      </c>
      <c r="H9" s="265"/>
      <c r="I9" s="265">
        <v>5037888.32</v>
      </c>
    </row>
    <row r="10" spans="1:9" s="114" customFormat="1" ht="15">
      <c r="A10" s="112"/>
      <c r="B10" s="266" t="s">
        <v>200</v>
      </c>
      <c r="C10" s="214">
        <v>61615404.969999999</v>
      </c>
      <c r="D10" s="214"/>
      <c r="E10" s="214">
        <v>62215837.469999999</v>
      </c>
      <c r="F10" s="266"/>
      <c r="G10" s="265">
        <v>31558726.82</v>
      </c>
      <c r="H10" s="265"/>
      <c r="I10" s="265">
        <v>35422816.869999997</v>
      </c>
    </row>
    <row r="11" spans="1:9" s="114" customFormat="1" ht="15">
      <c r="A11" s="112"/>
      <c r="B11" s="266" t="s">
        <v>82</v>
      </c>
      <c r="C11" s="214">
        <v>19102947.550000001</v>
      </c>
      <c r="D11" s="214"/>
      <c r="E11" s="214">
        <v>19079096.289999999</v>
      </c>
      <c r="F11" s="266"/>
      <c r="G11" s="265">
        <v>6824921.0800000001</v>
      </c>
      <c r="H11" s="265"/>
      <c r="I11" s="265">
        <v>8339896.4100000001</v>
      </c>
    </row>
    <row r="12" spans="1:9" s="114" customFormat="1" ht="15">
      <c r="A12" s="112"/>
      <c r="B12" s="266" t="s">
        <v>66</v>
      </c>
      <c r="C12" s="283">
        <f>24787890.52+5810676.43</f>
        <v>30598566.949999999</v>
      </c>
      <c r="D12" s="214"/>
      <c r="E12" s="283">
        <f>26335341.72+5804456.56</f>
        <v>32139798.279999997</v>
      </c>
      <c r="F12" s="266"/>
      <c r="G12" s="265">
        <f>5810955.16+898991.13</f>
        <v>6709946.29</v>
      </c>
      <c r="H12" s="265"/>
      <c r="I12" s="265">
        <f>5634905.82+438180.19</f>
        <v>6073086.0100000007</v>
      </c>
    </row>
    <row r="13" spans="1:9" s="114" customFormat="1" ht="15">
      <c r="A13" s="112"/>
      <c r="B13" s="272"/>
      <c r="C13" s="215">
        <f>SUM(C9:C12)</f>
        <v>129529440.75</v>
      </c>
      <c r="D13" s="215"/>
      <c r="E13" s="215">
        <f>SUM(E9:E12)</f>
        <v>133138567.88999999</v>
      </c>
      <c r="F13" s="272"/>
      <c r="G13" s="178">
        <f>SUM(G9:G12)</f>
        <v>51903168.07</v>
      </c>
      <c r="H13" s="70"/>
      <c r="I13" s="178">
        <f>SUM(I9:I12)</f>
        <v>54873687.609999992</v>
      </c>
    </row>
    <row r="14" spans="1:9" s="114" customFormat="1" ht="15">
      <c r="A14" s="112"/>
      <c r="B14" s="266"/>
      <c r="C14" s="214"/>
      <c r="D14" s="214"/>
      <c r="E14" s="214"/>
      <c r="F14" s="266"/>
      <c r="G14" s="70"/>
      <c r="H14" s="70"/>
      <c r="I14" s="70"/>
    </row>
    <row r="15" spans="1:9" s="114" customFormat="1" ht="3.75" customHeight="1">
      <c r="A15" s="112"/>
      <c r="B15" s="272"/>
      <c r="C15" s="215"/>
      <c r="D15" s="215"/>
      <c r="E15" s="215"/>
      <c r="F15" s="272"/>
      <c r="G15" s="70"/>
      <c r="H15" s="70"/>
      <c r="I15" s="70"/>
    </row>
    <row r="16" spans="1:9" s="114" customFormat="1" ht="15" hidden="1">
      <c r="A16" s="112"/>
      <c r="B16" s="266" t="s">
        <v>252</v>
      </c>
      <c r="C16" s="214"/>
      <c r="D16" s="214"/>
      <c r="E16" s="214"/>
      <c r="F16" s="266"/>
      <c r="G16" s="269"/>
      <c r="H16" s="269"/>
      <c r="I16" s="269"/>
    </row>
    <row r="17" spans="1:9" s="114" customFormat="1" ht="24">
      <c r="A17" s="112"/>
      <c r="B17" s="266" t="s">
        <v>26</v>
      </c>
      <c r="C17" s="283">
        <v>-4098642.96</v>
      </c>
      <c r="D17" s="214"/>
      <c r="E17" s="283">
        <v>-4098642.96</v>
      </c>
      <c r="F17" s="266"/>
      <c r="G17" s="284">
        <v>-4098642.96</v>
      </c>
      <c r="H17" s="269"/>
      <c r="I17" s="284">
        <v>-4098642.96</v>
      </c>
    </row>
    <row r="18" spans="1:9" s="114" customFormat="1" ht="15" hidden="1">
      <c r="A18" s="112"/>
      <c r="B18" s="266" t="s">
        <v>253</v>
      </c>
      <c r="C18" s="214"/>
      <c r="D18" s="214"/>
      <c r="E18" s="214"/>
      <c r="F18" s="266"/>
      <c r="G18" s="269"/>
      <c r="H18" s="269"/>
      <c r="I18" s="269"/>
    </row>
    <row r="19" spans="1:9" s="114" customFormat="1" ht="15" hidden="1">
      <c r="A19" s="112"/>
      <c r="B19" s="266" t="s">
        <v>254</v>
      </c>
      <c r="C19" s="214"/>
      <c r="D19" s="214"/>
      <c r="E19" s="214"/>
      <c r="F19" s="266"/>
      <c r="G19" s="269"/>
      <c r="H19" s="269"/>
      <c r="I19" s="269"/>
    </row>
    <row r="20" spans="1:9" hidden="1">
      <c r="B20" s="266" t="s">
        <v>243</v>
      </c>
      <c r="C20" s="214"/>
      <c r="D20" s="214"/>
      <c r="E20" s="214"/>
      <c r="F20" s="266"/>
      <c r="G20" s="269"/>
      <c r="H20" s="269"/>
      <c r="I20" s="269"/>
    </row>
    <row r="21" spans="1:9" ht="8.25" customHeight="1">
      <c r="B21" s="266"/>
      <c r="C21" s="214"/>
      <c r="D21" s="214"/>
      <c r="E21" s="214"/>
      <c r="F21" s="266"/>
      <c r="G21" s="285"/>
      <c r="H21" s="269"/>
      <c r="I21" s="285"/>
    </row>
    <row r="22" spans="1:9">
      <c r="B22" s="286"/>
      <c r="C22" s="216">
        <f>SUM(C13:C21)</f>
        <v>125430797.79000001</v>
      </c>
      <c r="D22" s="215"/>
      <c r="E22" s="216">
        <f>SUM(E13:E21)</f>
        <v>129039924.92999999</v>
      </c>
      <c r="F22" s="286"/>
      <c r="G22" s="136">
        <f>+G13+SUM(G16:G20)</f>
        <v>47804525.109999999</v>
      </c>
      <c r="H22" s="70"/>
      <c r="I22" s="136">
        <f>+I13+SUM(I16:I20)</f>
        <v>50775044.649999991</v>
      </c>
    </row>
    <row r="23" spans="1:9">
      <c r="B23" s="287"/>
      <c r="C23" s="287"/>
      <c r="D23" s="287"/>
      <c r="E23" s="287"/>
      <c r="F23" s="287"/>
      <c r="G23" s="280"/>
      <c r="H23" s="280"/>
      <c r="I23" s="288"/>
    </row>
    <row r="24" spans="1:9">
      <c r="B24" s="288"/>
      <c r="C24" s="288"/>
      <c r="D24" s="288"/>
      <c r="E24" s="288"/>
      <c r="F24" s="288"/>
      <c r="G24" s="288"/>
      <c r="H24" s="288"/>
      <c r="I24" s="288"/>
    </row>
    <row r="25" spans="1:9" hidden="1">
      <c r="B25" s="289" t="s">
        <v>255</v>
      </c>
      <c r="C25" s="289"/>
      <c r="D25" s="289"/>
      <c r="E25" s="289"/>
      <c r="F25" s="289"/>
      <c r="G25" s="288"/>
      <c r="H25" s="288"/>
      <c r="I25" s="288"/>
    </row>
    <row r="26" spans="1:9">
      <c r="B26" s="642" t="s">
        <v>5</v>
      </c>
      <c r="C26" s="642"/>
      <c r="D26" s="642"/>
      <c r="E26" s="642"/>
      <c r="F26" s="642"/>
      <c r="G26" s="642"/>
      <c r="H26" s="642"/>
      <c r="I26" s="642"/>
    </row>
    <row r="27" spans="1:9">
      <c r="B27" s="642"/>
      <c r="C27" s="642"/>
      <c r="D27" s="642"/>
      <c r="E27" s="642"/>
      <c r="F27" s="642"/>
      <c r="G27" s="642"/>
      <c r="H27" s="642"/>
      <c r="I27" s="642"/>
    </row>
    <row r="29" spans="1:9" ht="31.5" hidden="1">
      <c r="B29" s="119" t="s">
        <v>256</v>
      </c>
      <c r="C29" s="119"/>
      <c r="D29" s="119"/>
      <c r="E29" s="119"/>
      <c r="F29" s="119"/>
      <c r="G29" s="56" t="s">
        <v>246</v>
      </c>
      <c r="H29" s="56"/>
      <c r="I29" s="56" t="s">
        <v>251</v>
      </c>
    </row>
    <row r="30" spans="1:9" ht="14.25" hidden="1">
      <c r="B30" s="133" t="s">
        <v>240</v>
      </c>
      <c r="C30" s="133"/>
      <c r="D30" s="133"/>
      <c r="E30" s="133"/>
      <c r="F30" s="133"/>
      <c r="G30" s="40"/>
      <c r="H30" s="40"/>
      <c r="I30" s="40"/>
    </row>
    <row r="31" spans="1:9" ht="14.25" hidden="1">
      <c r="B31" s="130" t="s">
        <v>257</v>
      </c>
      <c r="C31" s="130"/>
      <c r="D31" s="130"/>
      <c r="E31" s="130"/>
      <c r="F31" s="130"/>
      <c r="G31" s="134"/>
      <c r="H31" s="134"/>
      <c r="I31" s="134"/>
    </row>
    <row r="32" spans="1:9" ht="14.25" hidden="1">
      <c r="B32" s="130" t="s">
        <v>258</v>
      </c>
      <c r="C32" s="130"/>
      <c r="D32" s="130"/>
      <c r="E32" s="130"/>
      <c r="F32" s="130"/>
      <c r="G32" s="134"/>
      <c r="H32" s="134"/>
      <c r="I32" s="134"/>
    </row>
    <row r="33" spans="2:9" ht="14.25" hidden="1">
      <c r="B33" s="130" t="s">
        <v>259</v>
      </c>
      <c r="C33" s="130"/>
      <c r="D33" s="130"/>
      <c r="E33" s="130"/>
      <c r="F33" s="130"/>
      <c r="G33" s="134"/>
      <c r="H33" s="134"/>
      <c r="I33" s="134"/>
    </row>
    <row r="34" spans="2:9" ht="14.25" hidden="1">
      <c r="B34" s="130" t="s">
        <v>260</v>
      </c>
      <c r="C34" s="130"/>
      <c r="D34" s="130"/>
      <c r="E34" s="130"/>
      <c r="F34" s="130"/>
      <c r="G34" s="134"/>
      <c r="H34" s="134"/>
      <c r="I34" s="134"/>
    </row>
    <row r="35" spans="2:9" ht="14.25" hidden="1">
      <c r="B35" s="130" t="s">
        <v>250</v>
      </c>
      <c r="C35" s="130"/>
      <c r="D35" s="130"/>
      <c r="E35" s="130"/>
      <c r="F35" s="130"/>
      <c r="G35" s="134"/>
      <c r="H35" s="134"/>
      <c r="I35" s="134"/>
    </row>
    <row r="36" spans="2:9" ht="14.25" hidden="1">
      <c r="B36" s="131" t="s">
        <v>244</v>
      </c>
      <c r="C36" s="131"/>
      <c r="D36" s="131"/>
      <c r="E36" s="131"/>
      <c r="F36" s="131"/>
      <c r="G36" s="73">
        <f>SUM(G31:G35)</f>
        <v>0</v>
      </c>
      <c r="H36" s="73"/>
      <c r="I36" s="73">
        <f>SUM(I31:I35)</f>
        <v>0</v>
      </c>
    </row>
    <row r="37" spans="2:9" hidden="1"/>
    <row r="38" spans="2:9" hidden="1"/>
    <row r="39" spans="2:9" ht="31.5" hidden="1">
      <c r="B39" s="643" t="s">
        <v>261</v>
      </c>
      <c r="C39" s="205"/>
      <c r="D39" s="205"/>
      <c r="E39" s="205"/>
      <c r="F39" s="205"/>
      <c r="G39" s="56" t="s">
        <v>246</v>
      </c>
      <c r="H39" s="56"/>
      <c r="I39" s="56" t="s">
        <v>251</v>
      </c>
    </row>
    <row r="40" spans="2:9" ht="14.25" hidden="1">
      <c r="B40" s="643"/>
      <c r="C40" s="205"/>
      <c r="D40" s="205"/>
      <c r="E40" s="205"/>
      <c r="F40" s="205"/>
      <c r="G40" s="40"/>
      <c r="H40" s="40"/>
      <c r="I40" s="40"/>
    </row>
    <row r="41" spans="2:9" hidden="1">
      <c r="B41" s="130" t="s">
        <v>262</v>
      </c>
      <c r="C41" s="130"/>
      <c r="D41" s="130"/>
      <c r="E41" s="130"/>
      <c r="F41" s="130"/>
      <c r="G41" s="117">
        <f>+G22</f>
        <v>47804525.109999999</v>
      </c>
      <c r="H41" s="117"/>
      <c r="I41" s="117">
        <f>+I22</f>
        <v>50775044.649999991</v>
      </c>
    </row>
    <row r="42" spans="2:9" hidden="1">
      <c r="B42" s="130" t="s">
        <v>263</v>
      </c>
      <c r="C42" s="130"/>
      <c r="D42" s="130"/>
      <c r="E42" s="130"/>
      <c r="F42" s="130"/>
      <c r="G42" s="117">
        <f>+G36</f>
        <v>0</v>
      </c>
      <c r="H42" s="117"/>
      <c r="I42" s="117">
        <f>+I36</f>
        <v>0</v>
      </c>
    </row>
    <row r="43" spans="2:9" ht="14.25" hidden="1">
      <c r="B43" s="131" t="s">
        <v>244</v>
      </c>
      <c r="C43" s="131"/>
      <c r="D43" s="131"/>
      <c r="E43" s="131"/>
      <c r="F43" s="131"/>
      <c r="G43" s="117">
        <f>SUM(G41:G42)</f>
        <v>47804525.109999999</v>
      </c>
      <c r="H43" s="117"/>
      <c r="I43" s="117">
        <f>SUM(I41:I42)</f>
        <v>50775044.649999991</v>
      </c>
    </row>
    <row r="44" spans="2:9" hidden="1"/>
  </sheetData>
  <customSheetViews>
    <customSheetView guid="{FEB6A96D-6D61-4258-8225-865A529D5565}" showGridLines="0" fitToPage="1" hiddenRows="1" showRuler="0">
      <selection activeCell="E9" sqref="E9"/>
      <pageMargins left="0.23622047244094491" right="0" top="0.98425196850393704" bottom="0.16"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5">
    <mergeCell ref="G3:I3"/>
    <mergeCell ref="B26:I27"/>
    <mergeCell ref="B39:B40"/>
    <mergeCell ref="C5:E5"/>
    <mergeCell ref="G5:I5"/>
  </mergeCells>
  <phoneticPr fontId="0" type="noConversion"/>
  <dataValidations xWindow="69" yWindow="412" count="1">
    <dataValidation allowBlank="1" showInputMessage="1" showErrorMessage="1" prompt="αναφέρετε  η λογιστική αξία των αποθεμάτων που έχουν ενεχυριασθεί προς εξασφάλιση υποχρεώσεων" sqref="B26:I27"/>
  </dataValidations>
  <printOptions horizontalCentered="1"/>
  <pageMargins left="0.73619999999999997" right="0" top="0.98419999999999996" bottom="0.16" header="0.433" footer="0"/>
  <pageSetup paperSize="9" scale="71" orientation="portrait" draft="1" r:id="rId2"/>
  <headerFooter alignWithMargins="0">
    <oddHeader>&amp;L&amp;14Notes to the annual financial statements for the year ended 31 December 2002</oddHeader>
    <oddFooter>&amp;L&amp;"Times New Roman Greek,Italic"&amp;11Draft for discussion purposes only</oddFooter>
  </headerFooter>
  <ignoredErrors>
    <ignoredError sqref="G12 I12" unlockedFormula="1"/>
  </ignoredErrors>
</worksheet>
</file>

<file path=xl/worksheets/sheet9.xml><?xml version="1.0" encoding="utf-8"?>
<worksheet xmlns="http://schemas.openxmlformats.org/spreadsheetml/2006/main" xmlns:r="http://schemas.openxmlformats.org/officeDocument/2006/relationships">
  <sheetPr>
    <pageSetUpPr fitToPage="1"/>
  </sheetPr>
  <dimension ref="A2:I19"/>
  <sheetViews>
    <sheetView showGridLines="0" zoomScaleNormal="100" workbookViewId="0">
      <selection activeCell="A5" sqref="A5:I17"/>
    </sheetView>
  </sheetViews>
  <sheetFormatPr defaultColWidth="10.6640625" defaultRowHeight="15"/>
  <cols>
    <col min="1" max="1" width="5.83203125" style="142" customWidth="1"/>
    <col min="2" max="2" width="48.33203125" style="142" customWidth="1"/>
    <col min="3" max="3" width="20.83203125" style="142" customWidth="1"/>
    <col min="4" max="4" width="3" style="142" customWidth="1"/>
    <col min="5" max="5" width="17.33203125" style="142" customWidth="1"/>
    <col min="6" max="6" width="1.83203125" style="142" customWidth="1"/>
    <col min="7" max="7" width="11.33203125" style="148" bestFit="1" customWidth="1"/>
    <col min="8" max="8" width="3.1640625" style="142" customWidth="1"/>
    <col min="9" max="9" width="14" style="148" bestFit="1" customWidth="1"/>
    <col min="10" max="16384" width="10.6640625" style="142"/>
  </cols>
  <sheetData>
    <row r="2" spans="1:9" s="114" customFormat="1" ht="12.75" customHeight="1">
      <c r="G2" s="146"/>
      <c r="I2" s="146"/>
    </row>
    <row r="3" spans="1:9" s="114" customFormat="1" ht="12.75" customHeight="1">
      <c r="B3" s="118"/>
      <c r="C3" s="118"/>
      <c r="D3" s="118"/>
      <c r="E3" s="118"/>
      <c r="F3" s="118"/>
      <c r="G3" s="147"/>
      <c r="H3" s="107"/>
      <c r="I3" s="146"/>
    </row>
    <row r="4" spans="1:9" s="114" customFormat="1" ht="12.75" customHeight="1">
      <c r="B4" s="118"/>
      <c r="C4" s="118"/>
      <c r="D4" s="118"/>
      <c r="E4" s="118"/>
      <c r="F4" s="118"/>
      <c r="G4" s="146"/>
      <c r="I4" s="146"/>
    </row>
    <row r="5" spans="1:9" s="114" customFormat="1" ht="15" customHeight="1">
      <c r="A5" s="121">
        <v>16</v>
      </c>
      <c r="B5" s="109" t="s">
        <v>83</v>
      </c>
      <c r="C5" s="109"/>
      <c r="D5" s="109"/>
      <c r="E5" s="109"/>
      <c r="F5" s="109"/>
      <c r="G5" s="146"/>
      <c r="I5" s="146"/>
    </row>
    <row r="6" spans="1:9" s="114" customFormat="1" ht="15" customHeight="1">
      <c r="A6" s="121"/>
      <c r="B6" s="109"/>
      <c r="C6" s="109"/>
      <c r="D6" s="109"/>
      <c r="E6" s="109"/>
      <c r="F6" s="109"/>
      <c r="G6" s="146"/>
      <c r="I6" s="146"/>
    </row>
    <row r="7" spans="1:9" s="114" customFormat="1" ht="15" customHeight="1">
      <c r="A7" s="108"/>
      <c r="B7" s="109"/>
      <c r="C7" s="634" t="s">
        <v>1</v>
      </c>
      <c r="D7" s="635"/>
      <c r="E7" s="635"/>
      <c r="F7" s="109"/>
      <c r="G7" s="634" t="s">
        <v>2</v>
      </c>
      <c r="H7" s="635"/>
      <c r="I7" s="635"/>
    </row>
    <row r="8" spans="1:9" s="114" customFormat="1" ht="15.75">
      <c r="B8" s="139"/>
      <c r="C8" s="241">
        <v>2002</v>
      </c>
      <c r="D8" s="4"/>
      <c r="E8" s="241">
        <v>2001</v>
      </c>
      <c r="F8" s="208"/>
      <c r="G8" s="241">
        <v>2002</v>
      </c>
      <c r="H8" s="4"/>
      <c r="I8" s="241">
        <v>2001</v>
      </c>
    </row>
    <row r="9" spans="1:9" s="114" customFormat="1" ht="15.75">
      <c r="B9" s="139"/>
      <c r="C9" s="208" t="s">
        <v>378</v>
      </c>
      <c r="D9" s="139"/>
      <c r="E9" s="208" t="s">
        <v>378</v>
      </c>
      <c r="F9" s="139"/>
      <c r="G9" s="208" t="s">
        <v>378</v>
      </c>
      <c r="H9" s="4"/>
      <c r="I9" s="208" t="s">
        <v>378</v>
      </c>
    </row>
    <row r="10" spans="1:9" s="114" customFormat="1" ht="15.75">
      <c r="B10" s="139"/>
      <c r="C10" s="139"/>
      <c r="D10" s="139"/>
      <c r="E10" s="139"/>
      <c r="F10" s="139"/>
      <c r="G10" s="56"/>
      <c r="H10" s="4"/>
      <c r="I10" s="56"/>
    </row>
    <row r="11" spans="1:9" s="114" customFormat="1" ht="12.75" customHeight="1">
      <c r="B11" s="290" t="s">
        <v>84</v>
      </c>
      <c r="C11" s="269">
        <v>30636589.469999999</v>
      </c>
      <c r="D11" s="290"/>
      <c r="E11" s="269">
        <v>73234384.290000007</v>
      </c>
      <c r="F11" s="292"/>
      <c r="G11" s="269">
        <v>106485.65</v>
      </c>
      <c r="H11" s="293"/>
      <c r="I11" s="269">
        <v>13177541.43</v>
      </c>
    </row>
    <row r="12" spans="1:9" s="114" customFormat="1" ht="12.75" customHeight="1">
      <c r="B12" s="282" t="s">
        <v>177</v>
      </c>
      <c r="C12" s="269">
        <v>35083348.439999998</v>
      </c>
      <c r="D12" s="282"/>
      <c r="E12" s="269">
        <v>45139452.43</v>
      </c>
      <c r="F12" s="288"/>
      <c r="G12" s="269">
        <v>68000</v>
      </c>
      <c r="H12" s="294"/>
      <c r="I12" s="269">
        <v>14895608.050000001</v>
      </c>
    </row>
    <row r="13" spans="1:9" s="114" customFormat="1" ht="30" customHeight="1">
      <c r="B13" s="291"/>
      <c r="C13" s="295">
        <f>SUM(C11:C12)</f>
        <v>65719937.909999996</v>
      </c>
      <c r="D13" s="291"/>
      <c r="E13" s="295">
        <f>SUM(E11:E12)</f>
        <v>118373836.72</v>
      </c>
      <c r="F13" s="296"/>
      <c r="G13" s="295">
        <f>SUM(G11:G12)</f>
        <v>174485.65</v>
      </c>
      <c r="H13" s="294"/>
      <c r="I13" s="295">
        <f>SUM(I11:I12)</f>
        <v>28073149.48</v>
      </c>
    </row>
    <row r="14" spans="1:9" ht="10.5" customHeight="1">
      <c r="G14" s="138"/>
      <c r="H14" s="140"/>
      <c r="I14" s="138"/>
    </row>
    <row r="15" spans="1:9">
      <c r="A15" s="144"/>
      <c r="B15" s="645" t="s">
        <v>213</v>
      </c>
      <c r="C15" s="645"/>
      <c r="D15" s="645"/>
      <c r="E15" s="645"/>
      <c r="F15" s="645"/>
      <c r="G15" s="645"/>
      <c r="H15" s="645"/>
      <c r="I15" s="645"/>
    </row>
    <row r="16" spans="1:9" ht="54" customHeight="1">
      <c r="A16" s="143"/>
      <c r="B16" s="645"/>
      <c r="C16" s="645"/>
      <c r="D16" s="645"/>
      <c r="E16" s="645"/>
      <c r="F16" s="645"/>
      <c r="G16" s="645"/>
      <c r="H16" s="645"/>
      <c r="I16" s="645"/>
    </row>
    <row r="17" spans="1:9">
      <c r="A17" s="143"/>
      <c r="B17" s="114"/>
      <c r="C17" s="114"/>
      <c r="D17" s="114"/>
      <c r="E17" s="114"/>
      <c r="F17" s="127"/>
      <c r="G17" s="113"/>
      <c r="H17" s="113"/>
      <c r="I17" s="145"/>
    </row>
    <row r="18" spans="1:9">
      <c r="B18" s="114"/>
      <c r="C18" s="114"/>
      <c r="D18" s="114"/>
      <c r="E18" s="114"/>
      <c r="F18" s="118"/>
      <c r="G18" s="73"/>
      <c r="H18" s="73"/>
      <c r="I18" s="146"/>
    </row>
    <row r="19" spans="1:9">
      <c r="B19" s="114"/>
      <c r="C19" s="114"/>
      <c r="D19" s="114"/>
      <c r="E19" s="114"/>
      <c r="F19" s="114"/>
    </row>
  </sheetData>
  <customSheetViews>
    <customSheetView guid="{FEB6A96D-6D61-4258-8225-865A529D5565}" showGridLines="0" fitToPage="1" showRuler="0" topLeftCell="A2">
      <selection activeCell="D6" sqref="D6:F6"/>
      <pageMargins left="0.23622047244094491" right="0" top="0.98425196850393704" bottom="0.15748031496062992" header="0.43307086614173229" footer="0"/>
      <printOptions horizontalCentered="1"/>
      <pageSetup paperSize="9" orientation="portrait" horizontalDpi="300" verticalDpi="300" r:id="rId1"/>
      <headerFooter alignWithMargins="0">
        <oddHeader>&amp;C&amp;"Times New Roman Greek,Bold"&amp;14&amp;UΓνωστοποιήσεις επί των οικονομικών καταστάσεων της Α.Ε Τσιμέντων Τιτάν</oddHeader>
        <oddFooter>&amp;L&amp;"Times New Roman Greek,Italic"&amp;8Δ.Ο.Π.Ε / Υ.Ε.Λ.Π_&amp;F_&amp;A_&amp;D_&amp;T&amp;R&amp;P/&amp;N</oddFooter>
      </headerFooter>
    </customSheetView>
  </customSheetViews>
  <mergeCells count="3">
    <mergeCell ref="B15:I16"/>
    <mergeCell ref="G7:I7"/>
    <mergeCell ref="C7:E7"/>
  </mergeCells>
  <phoneticPr fontId="0" type="noConversion"/>
  <printOptions horizontalCentered="1"/>
  <pageMargins left="0.73619999999999997" right="0" top="0.98419999999999996" bottom="0.16" header="0.433" footer="0"/>
  <pageSetup paperSize="9" scale="76" orientation="portrait" draft="1" r:id="rId2"/>
  <headerFooter alignWithMargins="0">
    <oddHeader>&amp;L&amp;14Notes to the annual financial statements for the year ended 31 December 2002</oddHeader>
    <oddFooter>&amp;L&amp;"Times New Roman Greek,Italic"&amp;11Draft for discussion purposes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Balance Sheet</vt:lpstr>
      <vt:lpstr>Income Statement</vt:lpstr>
      <vt:lpstr>Statement of Changes in Equity </vt:lpstr>
      <vt:lpstr>4</vt:lpstr>
      <vt:lpstr>8 Company</vt:lpstr>
      <vt:lpstr>10</vt:lpstr>
      <vt:lpstr>12</vt:lpstr>
      <vt:lpstr>14</vt:lpstr>
      <vt:lpstr>16</vt:lpstr>
      <vt:lpstr>23</vt:lpstr>
      <vt:lpstr>25 Group (2002)</vt:lpstr>
      <vt:lpstr>25 Company</vt:lpstr>
      <vt:lpstr>29 Reconciliation of equity</vt:lpstr>
      <vt:lpstr>29 PL</vt:lpstr>
      <vt:lpstr>31</vt:lpstr>
      <vt:lpstr>25 Group (2005)</vt:lpstr>
      <vt:lpstr>33</vt:lpstr>
      <vt:lpstr>'10'!Print_Area</vt:lpstr>
      <vt:lpstr>'12'!Print_Area</vt:lpstr>
      <vt:lpstr>'14'!Print_Area</vt:lpstr>
      <vt:lpstr>'16'!Print_Area</vt:lpstr>
      <vt:lpstr>'23'!Print_Area</vt:lpstr>
      <vt:lpstr>'25 Company'!Print_Area</vt:lpstr>
      <vt:lpstr>'25 Group (2002)'!Print_Area</vt:lpstr>
      <vt:lpstr>'25 Group (2005)'!Print_Area</vt:lpstr>
      <vt:lpstr>'29 PL'!Print_Area</vt:lpstr>
      <vt:lpstr>'29 Reconciliation of equity'!Print_Area</vt:lpstr>
      <vt:lpstr>'31'!Print_Area</vt:lpstr>
      <vt:lpstr>'33'!Print_Area</vt:lpstr>
      <vt:lpstr>'4'!Print_Area</vt:lpstr>
      <vt:lpstr>'8 Company'!Print_Area</vt:lpstr>
      <vt:lpstr>'Balance Sheet'!Print_Area</vt:lpstr>
      <vt:lpstr>'Income Statement'!Print_Area</vt:lpstr>
      <vt:lpstr>'Statement of Changes in Equity '!Print_Area</vt:lpstr>
    </vt:vector>
  </TitlesOfParts>
  <Company>TITAN CEMENT Co, 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DAVRAKOTOS</dc:creator>
  <cp:lastModifiedBy>Mahi Printzou</cp:lastModifiedBy>
  <cp:lastPrinted>2013-01-24T14:24:35Z</cp:lastPrinted>
  <dcterms:created xsi:type="dcterms:W3CDTF">2003-07-04T08:10:31Z</dcterms:created>
  <dcterms:modified xsi:type="dcterms:W3CDTF">2016-02-19T10:10:16Z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eywords0">
    <vt:lpwstr/>
  </property>
  <property fmtid="{D5CDD505-2E9C-101B-9397-08002B2CF9AE}" pid="3" name="Description0">
    <vt:lpwstr/>
  </property>
  <property fmtid="{D5CDD505-2E9C-101B-9397-08002B2CF9AE}" pid="4" name="Entry Date">
    <vt:lpwstr>2008-05-02T00:00:00Z</vt:lpwstr>
  </property>
</Properties>
</file>